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aPasta_de_trabalho"/>
  <bookViews>
    <workbookView xWindow="65428" yWindow="65428" windowWidth="23256" windowHeight="12456" tabRatio="1000" firstSheet="2" activeTab="1"/>
  </bookViews>
  <sheets>
    <sheet name="MEMÓRIA DE CÁLCULO" sheetId="1" r:id="rId1"/>
    <sheet name="Planilha" sheetId="2" r:id="rId2"/>
    <sheet name="Composição BDI" sheetId="3" r:id="rId3"/>
    <sheet name="Cronograma Físico-Financeiro" sheetId="4" r:id="rId4"/>
    <sheet name="ADMINISTRAÇÃO LOCAL" sheetId="5" state="hidden" r:id="rId5"/>
    <sheet name="COMPOSIÇÃO_COBERTURA" sheetId="6" r:id="rId6"/>
    <sheet name="COMPOSIÇÃO_TRINCA" sheetId="7" r:id="rId7"/>
  </sheets>
  <externalReferences>
    <externalReference r:id="rId10"/>
  </externalReferences>
  <definedNames>
    <definedName name="_xlnm.Print_Area" localSheetId="2">'Composição BDI'!$A$1:$E$24</definedName>
    <definedName name="_xlnm.Print_Area" localSheetId="5">'COMPOSIÇÃO_COBERTURA'!$A$1:$H$23</definedName>
    <definedName name="_xlnm.Print_Area" localSheetId="6">'COMPOSIÇÃO_TRINCA'!$A$1:$H$23</definedName>
    <definedName name="_xlnm.Print_Area" localSheetId="3">'Cronograma Físico-Financeiro'!$A$1:$J$51</definedName>
    <definedName name="_xlnm.Print_Area" localSheetId="0">'MEMÓRIA DE CÁLCULO'!$A$1:$G$1001</definedName>
    <definedName name="_xlnm.Print_Area" localSheetId="1">'Planilha'!$A$1:$H$114</definedName>
    <definedName name="AreaTeste" localSheetId="5">#REF!</definedName>
    <definedName name="AreaTeste" localSheetId="6">#REF!</definedName>
    <definedName name="AreaTeste">#REF!</definedName>
    <definedName name="AreaTeste2" localSheetId="5">#REF!</definedName>
    <definedName name="AreaTeste2" localSheetId="6">#REF!</definedName>
    <definedName name="AreaTeste2">#REF!</definedName>
    <definedName name="CélulaInicioPlanilha" localSheetId="5">#REF!</definedName>
    <definedName name="CélulaInicioPlanilha" localSheetId="6">#REF!</definedName>
    <definedName name="CélulaInicioPlanilha">#REF!</definedName>
    <definedName name="CélulaResumo" localSheetId="5">#REF!</definedName>
    <definedName name="CélulaResumo" localSheetId="6">#REF!</definedName>
    <definedName name="CélulaResumo">#REF!</definedName>
    <definedName name="Costuratrinca">#REF!</definedName>
    <definedName name="Excel_BuiltIn__FilterDatabase">"$#REF!.$B$8:$M$9"</definedName>
    <definedName name="Excel_BuiltIn__FilterDatabase_1">"$#REF!.$A$1:$F$5248"</definedName>
    <definedName name="Excel_BuiltIn__FilterDatabase_2" localSheetId="5">#REF!</definedName>
    <definedName name="Excel_BuiltIn__FilterDatabase_2" localSheetId="6">#REF!</definedName>
    <definedName name="Excel_BuiltIn__FilterDatabase_2">#REF!</definedName>
    <definedName name="Excel_BuiltIn__FilterDatabase_4">NA()</definedName>
    <definedName name="Excel_BuiltIn__FilterDatabase_4_1">"$#REF!.$#REF!$#REF!:$#REF!$#REF!"</definedName>
    <definedName name="Excel_BuiltIn__FilterDatabase_5">NA()</definedName>
    <definedName name="Excel_BuiltIn__FilterDatabase_6">"$#REF!.$A$1:$B$3278"</definedName>
    <definedName name="Excel_BuiltIn__FilterDatabase_6_1">NA()</definedName>
    <definedName name="Excel_BuiltIn_Print_Area">"$#REF!.$B$1:$N$9"</definedName>
    <definedName name="Excel_BuiltIn_Print_Area_1" localSheetId="5">#REF!</definedName>
    <definedName name="Excel_BuiltIn_Print_Area_1" localSheetId="6">#REF!</definedName>
    <definedName name="Excel_BuiltIn_Print_Area_1">#REF!</definedName>
    <definedName name="Excel_BuiltIn_Print_Area_3" localSheetId="5">#REF!</definedName>
    <definedName name="Excel_BuiltIn_Print_Area_3" localSheetId="6">#REF!</definedName>
    <definedName name="Excel_BuiltIn_Print_Area_3">#REF!</definedName>
    <definedName name="Excel_BuiltIn_Print_Area_5" localSheetId="5">#REF!</definedName>
    <definedName name="Excel_BuiltIn_Print_Area_5" localSheetId="6">#REF!</definedName>
    <definedName name="Excel_BuiltIn_Print_Area_5">#REF!</definedName>
    <definedName name="Excel_BuiltIn_Print_Titles">"$#REF!.$A$1:$AMJ$9"</definedName>
    <definedName name="Excel_BuiltIn_Print_Titles_1" localSheetId="5">#REF!</definedName>
    <definedName name="Excel_BuiltIn_Print_Titles_1" localSheetId="6">#REF!</definedName>
    <definedName name="Excel_BuiltIn_Print_Titles_1">#REF!</definedName>
    <definedName name="_xlnm.Print_Titles" localSheetId="5">'COMPOSIÇÃO_COBERTURA'!$1:$8</definedName>
    <definedName name="_xlnm.Print_Titles" localSheetId="6">'COMPOSIÇÃO_TRINCA'!$1:$8</definedName>
    <definedName name="_xlnm.Print_Titles" localSheetId="1">'Planilha'!$1:$10</definedName>
  </definedNames>
  <calcPr fullCalcOnLoad="1" fullPrecision="0"/>
</workbook>
</file>

<file path=xl/sharedStrings.xml><?xml version="1.0" encoding="utf-8"?>
<sst xmlns="http://schemas.openxmlformats.org/spreadsheetml/2006/main" count="1668" uniqueCount="534">
  <si>
    <t>SINAPI</t>
  </si>
  <si>
    <t>SERVIÇOS PRELIMINARES</t>
  </si>
  <si>
    <t>TOTAL</t>
  </si>
  <si>
    <t>ESQUADRIAS</t>
  </si>
  <si>
    <t>COBERTURA</t>
  </si>
  <si>
    <t>PINTURA</t>
  </si>
  <si>
    <t>Descrição</t>
  </si>
  <si>
    <t>Quantidade Total</t>
  </si>
  <si>
    <t>R$ Total</t>
  </si>
  <si>
    <t>ADMINISTRAÇÃO LOCAL (ADOTADA)</t>
  </si>
  <si>
    <t>A EMPRESA LICITANTE DEVERÁ ELABORAR A COMPOSIÇÃO DA ADMINISTRAÇÃO LOCAL PROPOSTA</t>
  </si>
  <si>
    <t>OBS.: O VALOR TOTAL DE ADM. LOCAL DEVERÁ SER DE ATÉ 5% DO VALOR TOTAL DA OBRA PROPOSTA</t>
  </si>
  <si>
    <t>cód.</t>
  </si>
  <si>
    <t>Referência</t>
  </si>
  <si>
    <t>Hora/Mês</t>
  </si>
  <si>
    <t>R$/Hora</t>
  </si>
  <si>
    <t>ADMINISTRAÇÃO LOCAL (PROPOSTA)</t>
  </si>
  <si>
    <t>Engenheiro/Arquiteto Junior de Acompanhamento de obra</t>
  </si>
  <si>
    <t>1.1</t>
  </si>
  <si>
    <t>M2</t>
  </si>
  <si>
    <t>Local</t>
  </si>
  <si>
    <t>Largura (m)</t>
  </si>
  <si>
    <t>Altura (m)</t>
  </si>
  <si>
    <t>Área (m²)</t>
  </si>
  <si>
    <t>Quantidade</t>
  </si>
  <si>
    <t>M</t>
  </si>
  <si>
    <t>Comprimento (m)</t>
  </si>
  <si>
    <t>6.1</t>
  </si>
  <si>
    <t>8.1</t>
  </si>
  <si>
    <t xml:space="preserve">un  </t>
  </si>
  <si>
    <t>JANELAS</t>
  </si>
  <si>
    <t xml:space="preserve">                                                                                                                                                                                    </t>
  </si>
  <si>
    <t>5.1</t>
  </si>
  <si>
    <t>1.2</t>
  </si>
  <si>
    <t>Metros (m)</t>
  </si>
  <si>
    <t xml:space="preserve"> </t>
  </si>
  <si>
    <t>Inclinação</t>
  </si>
  <si>
    <t>5.2</t>
  </si>
  <si>
    <t>VERGA PRÉ-MOLDADA PARA JANELAS COM ATÉ 1,5 M DE VÃO. AF_03/2016</t>
  </si>
  <si>
    <t>CONTRAVERGA PRÉ-MOLDADA PARA VÃOS DE ATÉ 1,5 M DE COMPRIMENTO. AF_03/2016</t>
  </si>
  <si>
    <t>VERGA PRÉ-MOLDADA PARA PORTAS COM ATÉ 1,5 M DE VÃO. AF_03/2016</t>
  </si>
  <si>
    <t>PINTURA ACRÍLICA EM PAREDE, DUAS (2) DEMÃOS, EXCLUSIVE SELADOR ACRÍLICO E MASSA ACRÍLICA/CORRIDA (PVA)</t>
  </si>
  <si>
    <t>LOUÇAS, BANCADAS, ACESSÓRIOS E METAIS</t>
  </si>
  <si>
    <t>BACIA SANITÁRIA (VASO) DE LOUÇA CONVENCIONAL, COR BRANCA, INCLUSIVE ACESSÓRIOS DE FIXAÇÃO/VEDAÇÃO, VÁLVULA DE DESCARGA METÁLICA COM ACIONAMENTO DUPLO, TUBO DE LIGAÇÃO DE LATÃO COM CANOPLA, FORNECIMENTO, INSTALAÇÃO E REJUNTAMENTO</t>
  </si>
  <si>
    <t>PUXADOR PARA PCD, FIXADO NA PORTA - FORNECIMENTO E INSTALAÇÃO. AF_01/2020</t>
  </si>
  <si>
    <t>PINTURA ESMALTE EM ESQUADRIAS DE FERRO, DUAS (2) DEMÃOS, INCLUSIVE UMA (1) DEMÃO DE FUNDO ANTICORROSIVO</t>
  </si>
  <si>
    <t>3.3</t>
  </si>
  <si>
    <t>3.4</t>
  </si>
  <si>
    <t>3.5</t>
  </si>
  <si>
    <t>3.6</t>
  </si>
  <si>
    <t>11.1</t>
  </si>
  <si>
    <t>11.2</t>
  </si>
  <si>
    <t>MEMÓRIA DE CÁLCULO</t>
  </si>
  <si>
    <t>CHAPISCO COM ARGAMASSA, TRAÇO 1:3 (CIMENTO E AREIA), ESP. 5MM, APLICADO EM ALVENARIA/ESTRUTURA DE CONCRETO COM COLHER</t>
  </si>
  <si>
    <t xml:space="preserve">Sanitários </t>
  </si>
  <si>
    <t>Sanitários</t>
  </si>
  <si>
    <t>ALVENARIA DE VEDAÇÃO DE BLOCOS CERÂMICOS FURADOS NA VERTICAL DE 9X19X39 CM (ESPESSURA 9 CM) E ARGAMASSA DE ASSENTAMENTO COM PREPARO MANUAL.</t>
  </si>
  <si>
    <t>PISO</t>
  </si>
  <si>
    <t>PONTO DE EMBUTIR PARA ÁGUA FRIA EM TUBO DE PVC RÍGIDO SOLDÁVEL, DN 20MM (1/2"), EMBUTIDO NA ALVENARIA COM DISTÂNCIA DE ATÉ CINCO (5) METROS DA TOMADA DE ÁGUA, INCLUSIVE CONEXÕES E FIXAÇÃO DO TUBO COM ENCHIMENTO DO RASGO NA ALVENARIA/CONCRETO COM ARGAMASSA</t>
  </si>
  <si>
    <t>Sanitários lavatórios</t>
  </si>
  <si>
    <t>REVESTIMENTOS</t>
  </si>
  <si>
    <t xml:space="preserve">INSTALAÇÃO HIDRO-SANITARIAS </t>
  </si>
  <si>
    <t>SUBTOTAL</t>
  </si>
  <si>
    <t>2.1</t>
  </si>
  <si>
    <t>5.3</t>
  </si>
  <si>
    <t>7.1</t>
  </si>
  <si>
    <t>10.1</t>
  </si>
  <si>
    <t>10.2</t>
  </si>
  <si>
    <t>10.3</t>
  </si>
  <si>
    <t>10.4</t>
  </si>
  <si>
    <t>11.3</t>
  </si>
  <si>
    <t>11.4</t>
  </si>
  <si>
    <t>12.1</t>
  </si>
  <si>
    <t>12.2</t>
  </si>
  <si>
    <t>12.3</t>
  </si>
  <si>
    <t>CAU-MG</t>
  </si>
  <si>
    <t>Robson Adalberto Mota Dias - Prefeito Municipal de Coração de Jesus</t>
  </si>
  <si>
    <t>PLANILHA ORÇAMENTÁRIA DE CUSTOS</t>
  </si>
  <si>
    <t xml:space="preserve">FORMA DE EXECUÇÃO: </t>
  </si>
  <si>
    <t>(    )</t>
  </si>
  <si>
    <t>DIRETA</t>
  </si>
  <si>
    <t>(  x  )</t>
  </si>
  <si>
    <t>INDIRETA</t>
  </si>
  <si>
    <t>BDI</t>
  </si>
  <si>
    <t>ITEM</t>
  </si>
  <si>
    <t>CÓDIGO</t>
  </si>
  <si>
    <t>DESCRIÇÃO</t>
  </si>
  <si>
    <t>UNIDADE</t>
  </si>
  <si>
    <t>QUANTIDADE</t>
  </si>
  <si>
    <t>PREÇO UNITÁRIO S/ BDI</t>
  </si>
  <si>
    <t>PREÇO UNITÁRIO C/ BDI</t>
  </si>
  <si>
    <t>PREÇO TOTAL</t>
  </si>
  <si>
    <t>SUBTOTAL:</t>
  </si>
  <si>
    <t>UN</t>
  </si>
  <si>
    <t>M²</t>
  </si>
  <si>
    <t>M³</t>
  </si>
  <si>
    <t>ALVENARIAS</t>
  </si>
  <si>
    <t>ALVENARIA DE VEDAÇÃO DE BLOCOS CERÂMICOS FURADOS NA VERTICAL DE 14X19X39 CM (ESPESSURA 14 CM) E ARGAMASSA DE ASSENTAMENTO COM PREPARO MANUAL. AF_12/2021</t>
  </si>
  <si>
    <t>93182</t>
  </si>
  <si>
    <t>93194</t>
  </si>
  <si>
    <t>93184</t>
  </si>
  <si>
    <t>ED-51156</t>
  </si>
  <si>
    <t>VIDRO COMUM LISO INCOLOR, ESP. 4MM, INCLUSIVE FIXAÇÃO E VEDAÇÃO COM GUARNIÇÃO/GAXETA DE BORRACHA NEOPRENE, FORNECIMENTO E INSTALAÇÃO, EXCLUSIVE CAIXILHO/PERFIL</t>
  </si>
  <si>
    <t xml:space="preserve">REVESTIMENTOS </t>
  </si>
  <si>
    <t>7.2</t>
  </si>
  <si>
    <t>88485</t>
  </si>
  <si>
    <t>ED-50498</t>
  </si>
  <si>
    <t>ED-50491</t>
  </si>
  <si>
    <t>INSTALAÇÕES HIDROSSANITÁRIAS</t>
  </si>
  <si>
    <t>9.3</t>
  </si>
  <si>
    <t>ED-50223</t>
  </si>
  <si>
    <t>PONTO DE EMBUTIR PARA ESGOTO EM TUBO PVC RÍGIDO, PB SÉRIE NORMAL, DN 40MM (1.1/2"), EMBUTIDO NA ALVENARIA/PISO, COM ALTURA (SAÍDA) DE 50CM DO PISO, COM DISTÂNCIA DE ATÉ CINCO (5) METROS DA RAMAL DE ESGOTO, EXCLUSIVE ESCAVAÇÃO, INCLUSIVE CONEXÕES E FIXAÇÃO DO TUBO COM ENCHIMENTO DO RASGO NA ALVENARIA/CONCRETO COM ARGAMASSA</t>
  </si>
  <si>
    <t>9.4</t>
  </si>
  <si>
    <t>ED-50225</t>
  </si>
  <si>
    <t>PONTO DE EMBUTIR PARA ESGOTO EM TUBO PVC RÍGIDO, PBV SÉRIE NORMAL, DN 100MM (4"), EMBUTIDO EM PISO COM DISTÂNCIA DE ATÉ CINCO (5) METROS DA RAMAL DE ESGOTO, INCLUSIVE CONEXÕES E FIXAÇÃO DO TUBO COM ENCHIMENTO DO RASGO NO CONCRETO COM ARGAMASSA</t>
  </si>
  <si>
    <t>ED-49871</t>
  </si>
  <si>
    <t>CAIXA DE ESGOTO DE INSPEÇÃO/PASSAGEM EM ALVENARIA ( 30X30X40CM), REVESTIMENTO EM ARGAMASSA COM ADITIVO IMPERMEABILIZANTE, COM TAMPA DE CONCRETO, INCLUSIVE ESCAVAÇÃO, REATERRO E TRANSPORTE E RETIRADA DO MATERIAL ESCAVADO (EM CAÇAMBA)</t>
  </si>
  <si>
    <t>ED-50298</t>
  </si>
  <si>
    <t>100872</t>
  </si>
  <si>
    <t>BARRA DE APOIO RETA, EM ALUMINIO, COMPRIMENTO 80 CM, FIXADA NA PAREDE - FORNECIMENTO E INSTALAÇÃO. AF_01/2020</t>
  </si>
  <si>
    <t>100874</t>
  </si>
  <si>
    <t>INSTALAÇÕES ELÉTRICAS</t>
  </si>
  <si>
    <t>11.5</t>
  </si>
  <si>
    <t>TOTAL GERAL DA OBRA</t>
  </si>
  <si>
    <t>CÁLCULO DE COMPOSIÇÃO DE BDI</t>
  </si>
  <si>
    <t>BDI (conforme Ácordão Nº 2622/13)- Construção e Reforma de Edifícios</t>
  </si>
  <si>
    <t>DISCRIMINAÇÃO DAS PARCELAS</t>
  </si>
  <si>
    <t>SIGLA</t>
  </si>
  <si>
    <t>ISS 5%</t>
  </si>
  <si>
    <t>Administração Central</t>
  </si>
  <si>
    <t>AC</t>
  </si>
  <si>
    <t>Lucro</t>
  </si>
  <si>
    <t>L</t>
  </si>
  <si>
    <t>Despesas Finaceiras</t>
  </si>
  <si>
    <t>DF</t>
  </si>
  <si>
    <t>Seguros</t>
  </si>
  <si>
    <t>S</t>
  </si>
  <si>
    <t>Garantias</t>
  </si>
  <si>
    <t>G</t>
  </si>
  <si>
    <t>Risco</t>
  </si>
  <si>
    <t>R</t>
  </si>
  <si>
    <t>Tributos</t>
  </si>
  <si>
    <t>I</t>
  </si>
  <si>
    <t>ISS</t>
  </si>
  <si>
    <t>PIS</t>
  </si>
  <si>
    <t>CONFINS</t>
  </si>
  <si>
    <t>FÓRMULA DO BDI =</t>
  </si>
  <si>
    <r>
      <t>(</t>
    </r>
    <r>
      <rPr>
        <b/>
        <u val="single"/>
        <sz val="10"/>
        <rFont val="Arial"/>
        <family val="2"/>
      </rPr>
      <t>1 + (AC + S + G + R)) x (1 + DF) x (1 + L)</t>
    </r>
  </si>
  <si>
    <t>(1 - (I + CPRB))</t>
  </si>
  <si>
    <t xml:space="preserve">BDI(numerador) = </t>
  </si>
  <si>
    <t xml:space="preserve">BDI(denominador) = </t>
  </si>
  <si>
    <t xml:space="preserve">BDI TOTAL = </t>
  </si>
  <si>
    <t>___________________________________________</t>
  </si>
  <si>
    <t>CRONOGRAMA FÍSICO-FINANCEIRO</t>
  </si>
  <si>
    <t>ETAPAS/DESCRIÇÃO</t>
  </si>
  <si>
    <t>FÍSICO/ FINANCEIRO</t>
  </si>
  <si>
    <t>TOTAL  ETAPAS</t>
  </si>
  <si>
    <t>MÊS 1</t>
  </si>
  <si>
    <t>MÊS 2</t>
  </si>
  <si>
    <t>MÊS 3</t>
  </si>
  <si>
    <t>MÊS 4</t>
  </si>
  <si>
    <t>MÊS 5</t>
  </si>
  <si>
    <t>MÊS 6</t>
  </si>
  <si>
    <t>Físico %</t>
  </si>
  <si>
    <t>Financeiro</t>
  </si>
  <si>
    <t>RUA NOZINHO PRATES</t>
  </si>
  <si>
    <t>RUA JOSE OLEGARIO L.</t>
  </si>
  <si>
    <t>RUA AMINTAS SALES</t>
  </si>
  <si>
    <t>RUA ÁLVARO AUGUSTO DE LÉLIS</t>
  </si>
  <si>
    <t>RUA FILOGONIO LAGOEIRO</t>
  </si>
  <si>
    <t>RUA JUCA DE QUEIROZ</t>
  </si>
  <si>
    <t>RUA FRANCISCO ANTUNES FERREIRA</t>
  </si>
  <si>
    <t>RUA JESUS CHATEUBRIAND</t>
  </si>
  <si>
    <t>REMOÇÕES E DEMOLIÇÕES</t>
  </si>
  <si>
    <t>97632</t>
  </si>
  <si>
    <t>DEMOLIÇÃO DE RODAPÉ CERÂMICO, DE FORMA MANUAL, SEM REAPROVEITAMENTO. AF_12/2017</t>
  </si>
  <si>
    <t>97633</t>
  </si>
  <si>
    <t>DEMOLIÇÃO DE REVESTIMENTO CERÂMICO, DE FORMA MANUAL, SEM REAPROVEITAMENTO. AF_12/2017</t>
  </si>
  <si>
    <t>REMOÇÃO DE JANELAS, DE FORMA MANUAL, SEM REAPROVEITAMENTO. AF_12/2017</t>
  </si>
  <si>
    <t>97645</t>
  </si>
  <si>
    <t>97663</t>
  </si>
  <si>
    <t>DEMOLIÇÃO DE ALVENARIA DE BLOCO FURADO, DE FORMA MANUAL, SEM REAPROVEITAMENTO. AF_12/2017</t>
  </si>
  <si>
    <t>Vanessa Santos Fonseca - Arquiteta e Urbanista</t>
  </si>
  <si>
    <t>ADMINISTRAÇÃO LOCAL</t>
  </si>
  <si>
    <t>ENGENHEIRO CIVIL DE OBRA JUNIOR COM ENCARGOS COMPLEMENTARES</t>
  </si>
  <si>
    <t>H</t>
  </si>
  <si>
    <t>ENCARREGADO GERAL COM ENCARGOS COMPLEMENTARES</t>
  </si>
  <si>
    <t>LOCAL: Luiz Pires de Minas - Coração de Jesus - MG</t>
  </si>
  <si>
    <t>ED-28427</t>
  </si>
  <si>
    <t>3.7</t>
  </si>
  <si>
    <t>3.8</t>
  </si>
  <si>
    <t>103325</t>
  </si>
  <si>
    <t>3.9</t>
  </si>
  <si>
    <t>97640</t>
  </si>
  <si>
    <t>REMOÇÃO DE FORROS DE DRYWALL, PVC E FIBROMINERAL, DE FORMA MANUAL, SEM REAPROVEITAMENTO. AF_12/2017</t>
  </si>
  <si>
    <t>97642</t>
  </si>
  <si>
    <t>3.10</t>
  </si>
  <si>
    <t>REMOÇÃO DE TRAMA METÁLICA OU DE MADEIRA PARA FORRO, DE FORMA MANUAL, SEM REAPROVEITAMENTO. AF_12/2017</t>
  </si>
  <si>
    <t>ED-48514</t>
  </si>
  <si>
    <t>Altura(m)</t>
  </si>
  <si>
    <t>Volume(M³)</t>
  </si>
  <si>
    <t>Recepção</t>
  </si>
  <si>
    <t>Espessura(M)</t>
  </si>
  <si>
    <t>PNE</t>
  </si>
  <si>
    <t>Desconto vão (M²)</t>
  </si>
  <si>
    <t>Vacina</t>
  </si>
  <si>
    <t>Ginecologia</t>
  </si>
  <si>
    <t>Procedimentos</t>
  </si>
  <si>
    <t>Copa</t>
  </si>
  <si>
    <t>Lado B (M)</t>
  </si>
  <si>
    <t>Perímetro M</t>
  </si>
  <si>
    <t>Expurgo</t>
  </si>
  <si>
    <t>Esterelização</t>
  </si>
  <si>
    <t>Médico</t>
  </si>
  <si>
    <t>Sala de reunião</t>
  </si>
  <si>
    <t>Arquivo</t>
  </si>
  <si>
    <t>Curativo</t>
  </si>
  <si>
    <t>Almoxarifado</t>
  </si>
  <si>
    <t>Circulação 1</t>
  </si>
  <si>
    <t>Circulação 2</t>
  </si>
  <si>
    <t>Comprimento (M)</t>
  </si>
  <si>
    <t>Medico</t>
  </si>
  <si>
    <t>Sala de Reunião</t>
  </si>
  <si>
    <t>Circulção 1</t>
  </si>
  <si>
    <t>Circulção 2</t>
  </si>
  <si>
    <t>Pne</t>
  </si>
  <si>
    <t>Banheiro Funcionários</t>
  </si>
  <si>
    <t>Largura (M)</t>
  </si>
  <si>
    <t>Área (M²)</t>
  </si>
  <si>
    <t>REVESTIMENTO</t>
  </si>
  <si>
    <t>Desconto (M²)</t>
  </si>
  <si>
    <t>Altura (M)</t>
  </si>
  <si>
    <t>Varanda 1</t>
  </si>
  <si>
    <t>Varanda 2</t>
  </si>
  <si>
    <t>Lado A (M)</t>
  </si>
  <si>
    <t>Vaso Sanitário</t>
  </si>
  <si>
    <t>Banheiro funcionários Lado A</t>
  </si>
  <si>
    <t>Banheiro funcionários Lado B</t>
  </si>
  <si>
    <t xml:space="preserve">97666 </t>
  </si>
  <si>
    <t>REMOÇÃO DE METAIS SANITÁRIOS, DE FORMA MANUAL, SEM REAPROVEITAMENTO. AF_12/2017</t>
  </si>
  <si>
    <t>REMOÇÃO DE LOUÇAS, DE FORMA MANUAL, SEM REAPROVEITAMENTO. AF_12/2017. LAVATÓRIO E VASO</t>
  </si>
  <si>
    <t>Lavatório</t>
  </si>
  <si>
    <t>Torneira</t>
  </si>
  <si>
    <t>Chuveiro</t>
  </si>
  <si>
    <t>Registro</t>
  </si>
  <si>
    <t>Cobertura</t>
  </si>
  <si>
    <t>Beiral</t>
  </si>
  <si>
    <t>Àrea (M²)</t>
  </si>
  <si>
    <t>Fator de Incl.</t>
  </si>
  <si>
    <t xml:space="preserve">TOTAL </t>
  </si>
  <si>
    <t>Lado A (m)</t>
  </si>
  <si>
    <t>Banheiros</t>
  </si>
  <si>
    <t>DML</t>
  </si>
  <si>
    <t>Procedimentos/Curativo</t>
  </si>
  <si>
    <t xml:space="preserve">ALVENARIA </t>
  </si>
  <si>
    <t xml:space="preserve">Banheiros </t>
  </si>
  <si>
    <t>Sala de espera</t>
  </si>
  <si>
    <t>Triagem</t>
  </si>
  <si>
    <t>Banheiros Parede A</t>
  </si>
  <si>
    <t>Banheiros Parede B</t>
  </si>
  <si>
    <t xml:space="preserve">PNE </t>
  </si>
  <si>
    <t xml:space="preserve">87878 </t>
  </si>
  <si>
    <t>CHAPISCO APLICADO EM ALVENARIAS E ESTRUTURAS DE CONCRETO INTERNAS, COM COLHER DE PEDREIRO. ARGAMASSA TRAÇO 1:3 COM PREPARO MANUAL. AF_10/20</t>
  </si>
  <si>
    <t>Banheiros Parede Externa</t>
  </si>
  <si>
    <t>Banheiros - Lado A</t>
  </si>
  <si>
    <t>Banheiros - Lado B</t>
  </si>
  <si>
    <t>PNE Lado A</t>
  </si>
  <si>
    <t>PNE Lado B</t>
  </si>
  <si>
    <t>Lavanderia</t>
  </si>
  <si>
    <t xml:space="preserve">96121 </t>
  </si>
  <si>
    <t>ACABAMENTOS PARA FORRO (RODA-FORRO EM PERFIL METÁLICO E PLÁSTICO). AF_ 05/2017</t>
  </si>
  <si>
    <t>Banheiro 1</t>
  </si>
  <si>
    <t>Banheiro 2</t>
  </si>
  <si>
    <t>Circulação 3</t>
  </si>
  <si>
    <t>Circulação 4</t>
  </si>
  <si>
    <t>Lado B (m)</t>
  </si>
  <si>
    <t>Perímetro (M)</t>
  </si>
  <si>
    <t>Muro</t>
  </si>
  <si>
    <t>Empena</t>
  </si>
  <si>
    <t>PNE parede A</t>
  </si>
  <si>
    <t xml:space="preserve">Almoxarifado </t>
  </si>
  <si>
    <t>ED-50505</t>
  </si>
  <si>
    <t>LIXAMENTO MANUAL EM PAREDE PARA REMOÇÃO DE TINTA</t>
  </si>
  <si>
    <t>ED-48344</t>
  </si>
  <si>
    <t>BANCADA EM GRANITO CINZA ANDORINHA E = 3 CM, APOIADA EM
ALVENARIA</t>
  </si>
  <si>
    <t>Bancada recepção</t>
  </si>
  <si>
    <t xml:space="preserve">Muro </t>
  </si>
  <si>
    <t xml:space="preserve">          </t>
  </si>
  <si>
    <t>Telhado</t>
  </si>
  <si>
    <t xml:space="preserve">ED-50508 </t>
  </si>
  <si>
    <t>Fisioterapia</t>
  </si>
  <si>
    <t>ED-50983</t>
  </si>
  <si>
    <t>PORTÃO DE GRADE COLOCADO COM CADEADO</t>
  </si>
  <si>
    <t>87249</t>
  </si>
  <si>
    <t>REVESTIMENTO CERÂMICO PARA PISO COM PLACAS TIPO ESMALTADA EXTRA DE DIMENSÕES 45X45 CM APLICADA EM AMBIENTES DE ÁREA MENOR QUE 5 M2. AF_06/20</t>
  </si>
  <si>
    <t>8.2</t>
  </si>
  <si>
    <t>8.3</t>
  </si>
  <si>
    <t>87250</t>
  </si>
  <si>
    <t>REVESTIMENTO CERÂMICO PARA PISO COM PLACAS TIPO ESMALTADA EXTRA DE ENSÕES 45X45 CM APLICADA EM AMBIENTES DE ÁREA ENTRE 5 M2 E 10 M2. AF_06/2014</t>
  </si>
  <si>
    <t>87251</t>
  </si>
  <si>
    <t>REVESTIMENTO CERÂMICO PARA PISO COM PLACAS TIPO ESMALTADA EXTRA DE DIMENSÕES 45X45 CM APLICADA EM AMBIENTES DE ÁREA MAIOR QUE 10 M2. AF_06/2014</t>
  </si>
  <si>
    <t>88649</t>
  </si>
  <si>
    <t>Composição</t>
  </si>
  <si>
    <t>COMPOSIÇÃO ANALÍTICA</t>
  </si>
  <si>
    <t xml:space="preserve">PREÇO UNITÁRIO </t>
  </si>
  <si>
    <t>COEFICIENTE</t>
  </si>
  <si>
    <t>CUSTO TOTAL</t>
  </si>
  <si>
    <t>TELHAMENTO COM TELHA CERÂMICA CAPA-CANAL, TIPO COLONIAL, COM ATÉ 2 ÁGUAS,INCLUSO TRANSPORTE VERTICAL. AF_07/2019</t>
  </si>
  <si>
    <t>SERVENTE COM ENCARGOS COMPLEMENTARES</t>
  </si>
  <si>
    <t>TELHADISTA COM ENCARGOS COMPLEMENTARES</t>
  </si>
  <si>
    <t>GUINCHO ELÉTRICO DE COLUNA, CAPACIDADE 400 KG, COM MOTO FREIO, MOTOR TRIFÁ</t>
  </si>
  <si>
    <t>GUINCHO ELÉTRICO DE COLUNA, CAPACIDADE 400 KG, COM MOTO FREIO, MOTOR TRIFÁSICO DE 1,25 CV - CHP DIURNO. AF_03/2016</t>
  </si>
  <si>
    <t>CHP</t>
  </si>
  <si>
    <t>1.3</t>
  </si>
  <si>
    <t>1.4</t>
  </si>
  <si>
    <t>CHI</t>
  </si>
  <si>
    <t>Grade muro</t>
  </si>
  <si>
    <t xml:space="preserve">07173  </t>
  </si>
  <si>
    <t>TELHA DE BARRO / CERAMICA, NAO ESMALTADA, TIPO COLONIAL, CANAL, PLAN, PAULISTA COMPRIMENTO DE *44 A 50* CM, RENDIMENTO DE COBERTURA DE *26* TELHAS/M2</t>
  </si>
  <si>
    <t>6.2</t>
  </si>
  <si>
    <t>87530</t>
  </si>
  <si>
    <t xml:space="preserve">87532  </t>
  </si>
  <si>
    <t>Tanque</t>
  </si>
  <si>
    <t xml:space="preserve">86906 </t>
  </si>
  <si>
    <t>86913</t>
  </si>
  <si>
    <t>TORNEIRA CROMADA DE MESA, 1/2 OU 3/4, PARA LAVATÓRIO, PADRÃO POPULAR FORNECIMENTO E INSTALAÇÃO. AF_01/2020</t>
  </si>
  <si>
    <t>TORNEIRA CROMADA 1/2 OU 3/4 PARA TANQUE, PADRÃO POPULAR - FORNECIMENTO E INSTALAÇÃO. AF_01/2020</t>
  </si>
  <si>
    <t xml:space="preserve">90791 </t>
  </si>
  <si>
    <t xml:space="preserve">97644 </t>
  </si>
  <si>
    <t>REMOÇÃO DE PORTAS, DE FORMA MANUAL, SEM REAPROVEITAMENTO. AF_12/2017</t>
  </si>
  <si>
    <t>Banheiro funcionários</t>
  </si>
  <si>
    <t>5.4</t>
  </si>
  <si>
    <t>Quantitdade</t>
  </si>
  <si>
    <t>ED-50301</t>
  </si>
  <si>
    <t>ED-9156</t>
  </si>
  <si>
    <t xml:space="preserve">100860 </t>
  </si>
  <si>
    <t>CHUVEIRO ELÉTRICO COMUM CORPO PLÁSTICO, TIPO DUCHA FORNECIMENTO E INSTALAÇÃO. AF_01/2020</t>
  </si>
  <si>
    <t xml:space="preserve">Local </t>
  </si>
  <si>
    <t>Altura(M)</t>
  </si>
  <si>
    <t>Banheiro parede interna A</t>
  </si>
  <si>
    <t>Banheiros Parede interna B</t>
  </si>
  <si>
    <t>ED-50495</t>
  </si>
  <si>
    <t>Grade Muro</t>
  </si>
  <si>
    <t>ED-50532</t>
  </si>
  <si>
    <t>Banheiro  1</t>
  </si>
  <si>
    <t>Porta sala de espera</t>
  </si>
  <si>
    <t>CONSUMO</t>
  </si>
  <si>
    <t xml:space="preserve">CUSTO UNITÁRIO </t>
  </si>
  <si>
    <t xml:space="preserve">ED50381 </t>
  </si>
  <si>
    <t xml:space="preserve">ED48303 </t>
  </si>
  <si>
    <t xml:space="preserve">ED50367 </t>
  </si>
  <si>
    <t xml:space="preserve">MATED8357 </t>
  </si>
  <si>
    <t>KG</t>
  </si>
  <si>
    <t xml:space="preserve">ED-28728 </t>
  </si>
  <si>
    <t>ED-8004</t>
  </si>
  <si>
    <t>97589</t>
  </si>
  <si>
    <t xml:space="preserve">104475 </t>
  </si>
  <si>
    <t>Prodedimento/ Curativo</t>
  </si>
  <si>
    <t>Sala de reuniões</t>
  </si>
  <si>
    <t xml:space="preserve">Lavanderia </t>
  </si>
  <si>
    <t xml:space="preserve">Copa </t>
  </si>
  <si>
    <t xml:space="preserve">Sala de espera </t>
  </si>
  <si>
    <t xml:space="preserve">Vacina </t>
  </si>
  <si>
    <t xml:space="preserve">102183 </t>
  </si>
  <si>
    <t>PONTO DE CONSUMO TERMINAL DE ÁGUA FRIA (SUBRAMAL) COM TUBULAÇÃO DE PVC, DN 25 MM, INSTALADO EM RAMAL DE ÁGUA, INCLUSOS RASGO E CHUMBAMENTO E
 M ALVENARIA. AF_12/2014</t>
  </si>
  <si>
    <t>91788</t>
  </si>
  <si>
    <t>Quantidade (M)</t>
  </si>
  <si>
    <t xml:space="preserve">Médico </t>
  </si>
  <si>
    <t xml:space="preserve">Fisioterapia </t>
  </si>
  <si>
    <t>LUMINÁRIA TIPO PLAFON EM PLÁSTICO, DE SOBREPOR, COM 1 LÂMPADA FLUORESCENTE DE 15 W, SEM REATOR - FORNECIMENTO E INSTALAÇÃO. AF_02/2020</t>
  </si>
  <si>
    <t>RODAPÉ CERÂMICO DE 7CM DE ALTURA COM PLACAS TIPO ESMALTADA EXTRA DE DIMENSÕES 45X45CM. AF_06/2014</t>
  </si>
  <si>
    <t>6.3</t>
  </si>
  <si>
    <t>6.4</t>
  </si>
  <si>
    <t>ED-51097</t>
  </si>
  <si>
    <t>ATERRO COMPACTADO MANUAL, COM SOQUETE</t>
  </si>
  <si>
    <t>5.5</t>
  </si>
  <si>
    <t>10.5</t>
  </si>
  <si>
    <t>10.6</t>
  </si>
  <si>
    <t>10.7</t>
  </si>
  <si>
    <t>13.1</t>
  </si>
  <si>
    <t>13.2</t>
  </si>
  <si>
    <t>13.3</t>
  </si>
  <si>
    <t>ED-50509</t>
  </si>
  <si>
    <t xml:space="preserve">    </t>
  </si>
  <si>
    <t>ED-9317</t>
  </si>
  <si>
    <t>ED-50566</t>
  </si>
  <si>
    <t>9.5</t>
  </si>
  <si>
    <t>9.6</t>
  </si>
  <si>
    <t xml:space="preserve"> Curativo</t>
  </si>
  <si>
    <t xml:space="preserve">Varanda </t>
  </si>
  <si>
    <t xml:space="preserve">Portão </t>
  </si>
  <si>
    <t>curativo</t>
  </si>
  <si>
    <t>Comprimento(m)</t>
  </si>
  <si>
    <t>Desconto(M)</t>
  </si>
  <si>
    <t>REMOÇÃO MANUAL DE TELHA CERÂMICA, COM REAPROVEITAMENTO, INCLUSIVE AFASTAMENTO E EMPILHAMENTO, EXCLUSIVE TRANSPORTE E RETIRADA DO  MATERIAL REMOVIDO NÃO REAPROVEITÁVEL</t>
  </si>
  <si>
    <t>REMOÇÃO MANUAL DE BANCADA DE PEDRA (MÁRMORE, GRANITO, ARDÓSIA, MARMORITE, ETC.), COM REAPROVEITAMENTO, INCLUSIVE RASGO EM ALVENARIA, REMOÇÃO DE ACESSÓRIOS DE FIXAÇÃO, AFASTAMENTO E EMPILHAMENTO, EXCLUSIVE TRANSPORTE E RETIRADA DO MATERIAL REMOVIDO NÃO REAPROVEITÁVEL</t>
  </si>
  <si>
    <t>MASSA ÚNICA, PARA RECEBIMENTO DE PINTURA, EM ARGAMASSA TRAÇO 1:2:8,EPARO MANUAL, APLICADA MANUALMENTE EM FACES INTERNAS DE PAREDES, ESPESSURA DE 20MM, COM EXECUÇÃO DE TALISCAS. AF_06/2014</t>
  </si>
  <si>
    <t>EMBOÇO, PARA RECEBIMENTO DE CERÂMICA, EM ARGAMASSA TRAÇO 1:2:8, PREPARO MECÂNICO COM BETONEIRA 400L, APLICADO MANUALMENTE EM FACES INTERNAS DE PAREDES, PARA AMBIENTE COM ÁREA ENTRE 5M2 E 10M2, ESPESSURA DE 20MM, COM EXECUÇÃO DE TALISCAS. AF_06/2014</t>
  </si>
  <si>
    <t>FORRO EM RÉGUA DE PVC, LARGURA 20CM, NA COR BRANCA, INCLUSIVE ESTRUTURA DE FIXAÇÃO E PENDURAIS METÁLICOS E ACESSÓRIOS DE FIXAÇÃO, EXCLUSIVE RODAFORRO OU MOLDURA</t>
  </si>
  <si>
    <t>ARGAMASSA, TRAÇO 1:4 (CIMENTO E AREIA), PREPARO MECÂNICO</t>
  </si>
  <si>
    <t>PEDREIRO COM ENCARGOS COMPLEMENTARES</t>
  </si>
  <si>
    <t>BARRA AÇO CA-50 (BITOLA: 8,00 MM| MASSA LINEAR: 0,395KG/M)</t>
  </si>
  <si>
    <t>COSTURA DE TRINCA COM GRAMPO, BARRA DE AÇO CA-50 Ø8,0MM, COMPRIMENTO TOTAL 40CM, ESPAÇAMENTO DE 15CM, INCLUSIVE CORTE, DOBRA E ARGAMASSA, TRAÇO 1:4 (CIMENTO E AREIA), PREPARO MECÂNICO</t>
  </si>
  <si>
    <t>PISO EM CONCRETO, PREPARADO EM OBRA COM BETONEIRA, FCK 10MPA, SEM ARMAÇÃO, ACABAMENTO RÚSTICO, ESP. 5CM, INCLUSIVE FORNECIMENTO, LANÇAMENTO, ADENSAMENTO, SARRAFEAMENTO, EXCLUSIVE JUNTA DE DILATAÇÃO</t>
  </si>
  <si>
    <t>PINTURA ESMALTE EM SUPERFÍCIE DE CONCRETO/ALVENARIA, DUAS (2) DEMÃOS, EXCLUSIVE SELADOR ACRÍLICO E MASSA ACRÍLICA/CORRIDA (PVA)</t>
  </si>
  <si>
    <t>LIXAMENTO MANUAL EM SUPERFÍCIE METÁLICA PARA REMOÇÃO DE TINTA</t>
  </si>
  <si>
    <t>PINTURA ANTICORROSIVA A BASE DE ÓXIDO DE FERRO (ZARCÃO) EM ESQUADRIA E SUPERFÍCIE METÁLICA, UMA (1) DEMÃO</t>
  </si>
  <si>
    <t>BACIA SANITÁRIA (VASO) DE LOUÇA CONVENCIONAL, ACESSÍVEL (PCR/PMR), COR BRANCA, COM INSTALAÇÃO DE SÓCULO NA BASE DA BACIA ACOMPANHANDO A PROJEÇÃO DA BASE, NÃO ULTRAPASSANDO ALTURA DE 5CM, ALTURA MÁXIMA DE 46CM (BACIA+ASSENTO), INCLUSIVE ACESSÓRIOS DE FIXAÇÃO/VEDAÇÃO, VÁLVULA DE DESCARGA METÁLICA COM ACIONAMENTO DUPLO, TUBO DE LIGAÇÃO DE LATÃO COM CANOPLA, FORNECIMENTO, INSTALAÇÃO E REJUNTAMENTO, EXCLUSIVE ASSENTO</t>
  </si>
  <si>
    <t>TANQUE DE MÁRMORE SINTÉTICO DUPLO, CAPACIDADE 37 LITROS, INCLUSIVE ACESSÓRIOS DE FIXAÇÃO, VÁLVULA DE ESCOAMENTO DE METAL COM ACABAMENTO CROMADO, SIFÃO DE METAL TIPO COPO COM ACABAMENTO CROMADO, FORNECIMENTO E INSTALAÇÃO, EXCLUSIVE TORNEIRA</t>
  </si>
  <si>
    <t>COMPOSIÇÃO PARAMÉTRICA DE PONTO ELÉTRICO DE ILUMINAÇÃO, COM INTERRUPTOR SIMPLES, EM EDIFÍCIO RESIDENCIAL COM ELETRODUTO EMBUTIDO EM RASGOS NAS PAREDES, INCLUSO TOMADA, ELETRODUTO, CABO, RASGO E CHUMBAMENTO (SEM LUMINÁRIA E LÂMPADA). AF_11/2022</t>
  </si>
  <si>
    <t>COMPOSIÇÃO PARAMÉTRICA DE PONTO ELÉTRICO DE TOMADA DE USO GERAL 2P+T10A/250V) EM EDIFÍCIO RESIDENCIAL COM ELETRODUTO EMBUTIDO EM RASGOS NAS PAREDES, INCLUSO TOMADA, ELETRODUTO, CABO, RASGO, QUEBRA E CHUMBAMENTO. AF_11/2022</t>
  </si>
  <si>
    <t xml:space="preserve">86909 </t>
  </si>
  <si>
    <t>TORNEIRA CROMADA TUBO MÓVEL, DE MESA, 1/2 OU 3/4, PARA PIA DE COZINHA, PADRÃO ALTO - FORNECIMENTO E INSTALAÇÃO. AF_01/2020</t>
  </si>
  <si>
    <t>Banheiro Ginecologia</t>
  </si>
  <si>
    <t>Recepção (Balcão)</t>
  </si>
  <si>
    <t xml:space="preserve"> Banheiro Procedimentos</t>
  </si>
  <si>
    <t>Banheiro Procedimentos</t>
  </si>
  <si>
    <t>CME</t>
  </si>
  <si>
    <t>Área(m²)</t>
  </si>
  <si>
    <t xml:space="preserve">  </t>
  </si>
  <si>
    <t>JANELA DE AÇO DE CORRER COM 4 FOLHAS PARA VIDRO, COM BATENTE, FERRAGENS E PINTURA ANTICORROSIVA. EXCLUSIVE VIDROS, ALIZAR E CONTRAMARCO. FOR
 NECIMENTO E INSTALAÇÃO. AF_12/2019</t>
  </si>
  <si>
    <t>KIT DE PORTA-PRONTA DE MADEIRA EM ACABAMENTO MELAMÍNICO BRANCO, FOLHA PESADA OU SUPERPESADA, 80X210CM, FIXAÇÃO COM PREENCHIMENTO PARCIAL DE
 ESPUMA EXPANSIVA - FORNECIMENTO E INSTALAÇÃO. AF_12/2019</t>
  </si>
  <si>
    <t>Banheiro  Ginecologia</t>
  </si>
  <si>
    <t>PORTA PIVOTANTE DE VIDRO TEMPERADO, 2 FOLHAS DE 90X210 CM, ESPESSURA DE 10MM, INCLUSIVE ACESSÓRIOS. AF_01/2021- SALA DE ESPERA</t>
  </si>
  <si>
    <t xml:space="preserve">Expurgo </t>
  </si>
  <si>
    <t xml:space="preserve">Medico </t>
  </si>
  <si>
    <t xml:space="preserve">Banheiro 1 </t>
  </si>
  <si>
    <t xml:space="preserve">Sala de reunião </t>
  </si>
  <si>
    <t xml:space="preserve">Triagem </t>
  </si>
  <si>
    <t xml:space="preserve">Recepção </t>
  </si>
  <si>
    <t xml:space="preserve">DML </t>
  </si>
  <si>
    <t xml:space="preserve">Circulação 1 </t>
  </si>
  <si>
    <t xml:space="preserve">Circulação 2 </t>
  </si>
  <si>
    <t xml:space="preserve">Circulação 3 </t>
  </si>
  <si>
    <t xml:space="preserve">Circulação 4 </t>
  </si>
  <si>
    <t>Parede externa</t>
  </si>
  <si>
    <t xml:space="preserve">EMASSAMENTO EM PAREDE COM MASSA CORRIDA (PVA), UMA (1) DEMÃO, INCLUSIVE LIXAMENTO PARA PINTURA. 
</t>
  </si>
  <si>
    <t>APLICAÇÃO DE FUNDO SELADOR ACRÍLICO EM PAREDES, UMA DEMÃO. AF_06/2014 - PAREDES NOVAS</t>
  </si>
  <si>
    <t>Perímetro( M)</t>
  </si>
  <si>
    <t xml:space="preserve">Ginecologia </t>
  </si>
  <si>
    <t>Paredes externas</t>
  </si>
  <si>
    <t>(COMPOSIÇÃO REPRESENTATIVA) DO SERVIÇO DE INSTALAÇÃO DE TUBOS DE PVC SOLDÁVEL, ÁGUA FRIA, DN 50 MM (INSTALADO EM PRUMADA), INCLUSIVE CONEXÕES, CORTES E FIXAÇÕES, PARA PRÉDIOS. AF_10/2015</t>
  </si>
  <si>
    <t xml:space="preserve">86895 </t>
  </si>
  <si>
    <t>BANCADA DE GRANITO CINZA POLIDO, DE 0,50 X 0,60 M, PARA LAVATÓRIO FORRNECIMENTO E INSTALAÇÃO. AF_01/2020</t>
  </si>
  <si>
    <t>ED-50279</t>
  </si>
  <si>
    <t>CUBA DE LOUÇA BRANCA DE EMBUTIR, FORMATO OVAL,
INCLUSIVE VÁLVULA DE ESCOAMENTO DE METAL COM
ACABAMENTO CROMADO, SIFÃO DE METAL TIPO COPO COM
ACABAMENTO CROMADO, FORNECIMENTO E INSTALAÇÃO</t>
  </si>
  <si>
    <t>Varanda</t>
  </si>
  <si>
    <t xml:space="preserve">Banheiro ginecologia </t>
  </si>
  <si>
    <t xml:space="preserve"> Fisioterapia</t>
  </si>
  <si>
    <t>RASGO EM ALVENARIA PARA ELETRODUTOS COM DIAMETROS MENORES OU IGUAIS A 40 MM. AF_05/2015</t>
  </si>
  <si>
    <t>11.6</t>
  </si>
  <si>
    <t>11.7</t>
  </si>
  <si>
    <t xml:space="preserve">ED-50705 </t>
  </si>
  <si>
    <t>ENCHIMENTO DE RASGO EM ALVENARIA/CONCRETO COM
ARGAMASSA, DIÂMETROS DE 32MM A 50MM (1.1/4" A 2"),
INCLUSIVE ARGAMASSA, TRAÇO 1:2:8 (CIMENTO, CAL E AREIA),
PREPARO MECÂNICO</t>
  </si>
  <si>
    <t>ED-51148</t>
  </si>
  <si>
    <t xml:space="preserve">RAMPA PARA ACESSO DE DEFICIENTE, EM
CONCRETO SIMPLES FCK = 25 MPA, DESEMPENADA, COM PINTURA
INDICATIVA, 02 DEMÃOS - ACESSO CALÇADA
</t>
  </si>
  <si>
    <t>CONTRAPISO DESEMPENADO COM ARGAMASSA,
TRAÇO 1:3 (CIMENTO E AREIA), ESP. 20MM</t>
  </si>
  <si>
    <t>Calçada</t>
  </si>
  <si>
    <t>Rampa</t>
  </si>
  <si>
    <t>Escada</t>
  </si>
  <si>
    <t>Patamar</t>
  </si>
  <si>
    <t>ALVENARIA DE VEDAÇÃO COM BLOCO DE CONCRETO, ESP.14CM,
PARA REVESTIMENTO, INCLUSIVE ARGAMASSA PARA ASSENTAMENTO</t>
  </si>
  <si>
    <t>Patamar (Rampa)</t>
  </si>
  <si>
    <t>Laterais patamar</t>
  </si>
  <si>
    <t>Passeio</t>
  </si>
  <si>
    <t>ED-48440</t>
  </si>
  <si>
    <t xml:space="preserve"> DEMOLIÇÃO MANUAL DE CONCRETO, SEM ARMAÇÃO, INCLUSIVE
AFASTAMENTO E EMPILHAMENTO, EXCLUSIVE TRANSPORTE E
RETIRADA DO MATERIAL DEMOLIDO</t>
  </si>
  <si>
    <t>Rampa Existente</t>
  </si>
  <si>
    <t>Arquiteta e Urbanista - Vanessa Santos Fonseca</t>
  </si>
  <si>
    <t>PRAZO DE EXECUÇÃO: 6 meses</t>
  </si>
  <si>
    <t>PRAZO DE EXECUÇÃO: 6 MESES</t>
  </si>
  <si>
    <t>3.11</t>
  </si>
  <si>
    <t xml:space="preserve">ED-48192 </t>
  </si>
  <si>
    <t>RAMPA E PASSEIO</t>
  </si>
  <si>
    <t>Rampa e Escada</t>
  </si>
  <si>
    <t>9.7</t>
  </si>
  <si>
    <t xml:space="preserve">ED-9081 </t>
  </si>
  <si>
    <t>REVESTIMENTO COM CERÂMICA APLICADO EM PAREDE,
ACABAMENTO ESMALTADO, AMBIENTE INTERNO/EXTERNO,
PADRÃO EXTRA, DIMENSÃO DA PEÇA ATÉ 2025 CM2, PEI III,
ASSENTAMENTO COM ARGAMASSA INDUSTRIALIZADA, INCLUSIVE
 REJUNTAMENTO</t>
  </si>
  <si>
    <t>Copa Lado A</t>
  </si>
  <si>
    <t xml:space="preserve">94562 </t>
  </si>
  <si>
    <t>ED-50956</t>
  </si>
  <si>
    <t>FORNECIMENTO E ASSENTAMENTO DE JANELA EM FERRO, TIPO
MAXIM-AR, INCLUSIVE FERRAGENS E ACESSÓRIOS</t>
  </si>
  <si>
    <t>3.1</t>
  </si>
  <si>
    <t>3.2</t>
  </si>
  <si>
    <t>MIL</t>
  </si>
  <si>
    <t>ED-50477</t>
  </si>
  <si>
    <t>PINTURA ESMALTE SINTÉTICO EM SUPERFÍCIES METÁLICAS, DUAS (2) DEMÃOS, INCLUSIVE UMA (1) DEMÃO DE FUNDO ANTICORROSIVO</t>
  </si>
  <si>
    <t>ED-15227</t>
  </si>
  <si>
    <t>PISO PODOTÁTIL DE CONCRETO, DIRECIONAL, APLICADO EM PISO (20X20CM) COM JUNTA SECA, COR VERMELHO/AMARELO, ASSENTAMENTO COM ARGAMASSA INDUSTRIALIZADA, INCLUSIVE FORNECIMENTO E INSTALAÇÃO</t>
  </si>
  <si>
    <t>ED-15226</t>
  </si>
  <si>
    <t>PISO PODOTÁTIL DE CONCRETO, ALERTA, APLICADO EM PISO ( 20X20CM) COM JUNTA SECA, COR VERMELHO/AMARELO, ASSENTAMENTO COM ARGAMASSA INDUSTRIALIZADA, INCLUSIVE FORNECIMENTO E INSTALAÇÃO</t>
  </si>
  <si>
    <t>4.1</t>
  </si>
  <si>
    <t>4.2</t>
  </si>
  <si>
    <t>4.3</t>
  </si>
  <si>
    <t>4.4</t>
  </si>
  <si>
    <t>4.5</t>
  </si>
  <si>
    <t>5.6</t>
  </si>
  <si>
    <t>7.3</t>
  </si>
  <si>
    <t>8.4</t>
  </si>
  <si>
    <t>8.5</t>
  </si>
  <si>
    <t>9.1</t>
  </si>
  <si>
    <t>9.2</t>
  </si>
  <si>
    <t>9.8</t>
  </si>
  <si>
    <t>9.9</t>
  </si>
  <si>
    <t>11.8</t>
  </si>
  <si>
    <t>11.9</t>
  </si>
  <si>
    <t>11.10</t>
  </si>
  <si>
    <t>11.11</t>
  </si>
  <si>
    <t>11.12</t>
  </si>
  <si>
    <t>13.4</t>
  </si>
  <si>
    <t>13.5</t>
  </si>
  <si>
    <t>13.6</t>
  </si>
  <si>
    <t>13.7</t>
  </si>
  <si>
    <t>13.8</t>
  </si>
  <si>
    <t>13.9</t>
  </si>
  <si>
    <t>13.10</t>
  </si>
  <si>
    <t xml:space="preserve">VALOR:  </t>
  </si>
  <si>
    <t>4.6</t>
  </si>
  <si>
    <t xml:space="preserve">93185 </t>
  </si>
  <si>
    <t xml:space="preserve">VERGA PRÉ-MOLDADA PARA PORTAS COM MAIS DE 1,5 M DE VÃO. AF_03/2016 </t>
  </si>
  <si>
    <t>REGIÃO/MÊS DE REFERÊNCIA: SINAPI MG / JUNHO DE 2023 - Não Desonerado - SETOP NORTE / ABRIL DE 2023</t>
  </si>
  <si>
    <t>FORNECIMENTO E COLOCAÇÃO DE PLACA DE OBRA EM CHAPA
GALVANIZADA #26, ESP. 0,45MM, DIMENSÃO (3X1,5)M, PLOTADA
COM ADESIVO VINÍLICO, AFIXADA COM REBITES 4,8X40MM, EM
ESTRUTURA METÁLICA DE METALON 20X20MM, ESP. 1,25MM,
INCLUSIVE SUPORTE EM EUCALIPTO AUTOCLAVADO PINTADO
COM TINTA PVA DUAS (2) DEMÃOS</t>
  </si>
  <si>
    <t>ED-48437</t>
  </si>
  <si>
    <t>CORRIMÃO DUPLO EM TUBO GALVANIZADO, COM COSTURA,
DIÂMETRO 1.1/2", ESP. 3MM, FIXADO EM ALVENARIA, INCLUSIVE
SUPORTE PARA CORRIMÃO EM BARRA CHATA (1"X1/2"),
EXCLUSIVE PINTURA</t>
  </si>
  <si>
    <t>ED-32000</t>
  </si>
  <si>
    <t xml:space="preserve">GUARDA-CORPO INTERNO, ALTURA 110CM, EM TUBO
GALVANIZADO, COM COSTURA, DIÂMETRO 2", ESP. 3MM, GRADIL
COM DIVISÃO HORIZONTAL EM TUBO GALVANIZADO, COM
COSTURA, DIÂMETRO 1", ESP. 3MM, INCLUSIVE CORRIMÃO DUPLO
, EXCLUSIVE PINTURA
</t>
  </si>
  <si>
    <t>ED-32094</t>
  </si>
  <si>
    <t xml:space="preserve">   </t>
  </si>
  <si>
    <t>Banheiro procedimentos</t>
  </si>
  <si>
    <t>CONTRATAÇÃO DE SERVIÇOS COMUNS DE ENGENHARIA DE MANUTENÇÃO, ADEQUAÇÃO E DE ADAPTAÇÃO DA UNIDADE BÁSICA DE SAÚDE DE LUIZ PIRES DE MINAS.</t>
  </si>
  <si>
    <t>DATA: 11/08/2023</t>
  </si>
  <si>
    <t>A167900-7</t>
  </si>
  <si>
    <t xml:space="preserve">CAU MG: A167900-7
</t>
  </si>
  <si>
    <t>167900-7</t>
  </si>
</sst>
</file>

<file path=xl/styles.xml><?xml version="1.0" encoding="utf-8"?>
<styleSheet xmlns="http://schemas.openxmlformats.org/spreadsheetml/2006/main">
  <numFmts count="20">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_(&quot;R$ &quot;* #,##0.00_);_(&quot;R$ &quot;* \(#,##0.00\);_(&quot;R$ &quot;* &quot;-&quot;??_);_(@_)"/>
    <numFmt numFmtId="165" formatCode="_(* #,##0.00_);_(* \(#,##0.00\);_(* &quot;-&quot;??_);_(@_)"/>
    <numFmt numFmtId="166" formatCode="_(&quot;R$&quot;* #,##0.00_);_(&quot;R$&quot;* \(#,##0.00\);_(&quot;R$&quot;* &quot;-&quot;??_);_(@_)"/>
    <numFmt numFmtId="167" formatCode="#,##0.00\ ;&quot; (&quot;#,##0.00\);&quot; -&quot;#\ ;@\ "/>
    <numFmt numFmtId="168" formatCode="_-* #,##0.00\ _D_M_-;\-* #,##0.00\ _D_M_-;_-* &quot;-&quot;??\ _D_M_-;_-@_-"/>
    <numFmt numFmtId="169" formatCode="&quot;R$&quot;\ #,##0.00"/>
    <numFmt numFmtId="170" formatCode="_-&quot;R$ &quot;* #,##0.00_-;&quot;-R$ &quot;* #,##0.00_-;_-&quot;R$ &quot;* \-??_-;_-@_-"/>
    <numFmt numFmtId="171" formatCode="&quot;R$&quot;\ #,##0.00;[Red]\-&quot;R$&quot;\ #,##0.00"/>
    <numFmt numFmtId="172" formatCode="&quot;R$ &quot;#,##0.00"/>
    <numFmt numFmtId="173" formatCode="&quot;R$&quot;#,##0.00"/>
    <numFmt numFmtId="174" formatCode="0.0"/>
    <numFmt numFmtId="175" formatCode="#,##0.0000000"/>
  </numFmts>
  <fonts count="73">
    <font>
      <sz val="10"/>
      <name val="Arial"/>
      <family val="0"/>
    </font>
    <font>
      <sz val="11"/>
      <color indexed="8"/>
      <name val="Calibri"/>
      <family val="2"/>
    </font>
    <font>
      <sz val="9"/>
      <name val="Arial"/>
      <family val="2"/>
    </font>
    <font>
      <sz val="8"/>
      <name val="Arial"/>
      <family val="2"/>
    </font>
    <font>
      <b/>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5"/>
      <color indexed="62"/>
      <name val="Calibri"/>
      <family val="2"/>
    </font>
    <font>
      <b/>
      <sz val="13"/>
      <color indexed="62"/>
      <name val="Calibri"/>
      <family val="2"/>
    </font>
    <font>
      <b/>
      <sz val="11"/>
      <color indexed="62"/>
      <name val="Calibri"/>
      <family val="2"/>
    </font>
    <font>
      <b/>
      <sz val="8"/>
      <name val="Times New Roman"/>
      <family val="1"/>
    </font>
    <font>
      <b/>
      <sz val="18"/>
      <color indexed="62"/>
      <name val="Cambria"/>
      <family val="2"/>
    </font>
    <font>
      <u val="single"/>
      <sz val="10"/>
      <name val="Arial"/>
      <family val="2"/>
    </font>
    <font>
      <i/>
      <sz val="9"/>
      <name val="Arial"/>
      <family val="2"/>
    </font>
    <font>
      <b/>
      <i/>
      <sz val="8"/>
      <name val="Arial"/>
      <family val="2"/>
    </font>
    <font>
      <b/>
      <sz val="11"/>
      <name val="Calibri"/>
      <family val="2"/>
    </font>
    <font>
      <i/>
      <sz val="8"/>
      <name val="Arial"/>
      <family val="2"/>
    </font>
    <font>
      <sz val="10"/>
      <color indexed="8"/>
      <name val="Arial"/>
      <family val="2"/>
    </font>
    <font>
      <b/>
      <sz val="10"/>
      <color indexed="8"/>
      <name val="Arial"/>
      <family val="2"/>
    </font>
    <font>
      <sz val="10"/>
      <color indexed="10"/>
      <name val="Arial"/>
      <family val="2"/>
    </font>
    <font>
      <b/>
      <sz val="10"/>
      <color indexed="9"/>
      <name val="Arial"/>
      <family val="2"/>
    </font>
    <font>
      <b/>
      <sz val="8"/>
      <name val="Arial"/>
      <family val="2"/>
    </font>
    <font>
      <sz val="8"/>
      <color indexed="8"/>
      <name val="Arial"/>
      <family val="2"/>
    </font>
    <font>
      <u val="single"/>
      <sz val="10"/>
      <color indexed="12"/>
      <name val="Arial"/>
      <family val="2"/>
    </font>
    <font>
      <b/>
      <u val="single"/>
      <sz val="10"/>
      <name val="Arial"/>
      <family val="2"/>
    </font>
    <font>
      <b/>
      <sz val="9"/>
      <name val="Arial"/>
      <family val="2"/>
    </font>
    <font>
      <b/>
      <sz val="9"/>
      <color indexed="8"/>
      <name val="Arial"/>
      <family val="2"/>
    </font>
    <font>
      <b/>
      <sz val="11"/>
      <name val="Arial"/>
      <family val="2"/>
    </font>
    <font>
      <sz val="11"/>
      <name val="Arial"/>
      <family val="2"/>
    </font>
    <font>
      <sz val="9"/>
      <color indexed="8"/>
      <name val="Arial"/>
      <family val="2"/>
    </font>
    <font>
      <b/>
      <u val="single"/>
      <sz val="14"/>
      <color indexed="8"/>
      <name val="Times New Roman"/>
      <family val="0"/>
    </font>
    <font>
      <sz val="14"/>
      <color indexed="8"/>
      <name val="Times New Roman"/>
      <family val="0"/>
    </font>
    <font>
      <sz val="14"/>
      <color indexed="8"/>
      <name val="Calibri"/>
      <family val="0"/>
    </font>
    <font>
      <b/>
      <u val="single"/>
      <sz val="12"/>
      <color indexed="8"/>
      <name val="Times New Roman"/>
      <family val="0"/>
    </font>
    <font>
      <sz val="12"/>
      <color indexed="8"/>
      <name val="Times New Roman"/>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0"/>
      <color theme="1"/>
      <name val="Arial"/>
      <family val="2"/>
    </font>
    <font>
      <b/>
      <sz val="10"/>
      <color theme="1"/>
      <name val="Arial"/>
      <family val="2"/>
    </font>
    <font>
      <sz val="10"/>
      <color rgb="FFFF0000"/>
      <name val="Arial"/>
      <family val="2"/>
    </font>
    <font>
      <b/>
      <sz val="9"/>
      <color theme="1"/>
      <name val="Arial"/>
      <family val="2"/>
    </font>
    <font>
      <sz val="8"/>
      <color rgb="FF000000"/>
      <name val="Arial"/>
      <family val="2"/>
    </font>
    <font>
      <b/>
      <sz val="10"/>
      <color theme="0"/>
      <name val="Arial"/>
      <family val="2"/>
    </font>
    <font>
      <sz val="9"/>
      <color theme="1"/>
      <name val="Arial"/>
      <family val="2"/>
    </font>
  </fonts>
  <fills count="7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indexed="49"/>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20"/>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55"/>
        <bgColor indexed="64"/>
      </patternFill>
    </fill>
    <fill>
      <patternFill patternType="solid">
        <fgColor indexed="26"/>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3" tint="0.5999900102615356"/>
        <bgColor indexed="64"/>
      </patternFill>
    </fill>
  </fills>
  <borders count="106">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right/>
      <top/>
      <bottom style="double">
        <color indexed="52"/>
      </bottom>
    </border>
    <border>
      <left style="hair">
        <color indexed="63"/>
      </left>
      <right style="hair">
        <color indexed="63"/>
      </right>
      <top style="hair">
        <color indexed="63"/>
      </top>
      <bottom style="hair">
        <color indexed="63"/>
      </bottom>
    </border>
    <border>
      <left/>
      <right/>
      <top/>
      <bottom style="thick">
        <color indexed="49"/>
      </bottom>
    </border>
    <border>
      <left/>
      <right/>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uble"/>
      <right style="thin"/>
      <top style="double"/>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right/>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right/>
      <top/>
      <bottom style="medium">
        <color indexed="30"/>
      </bottom>
    </border>
    <border>
      <left>
        <color indexed="63"/>
      </left>
      <right>
        <color indexed="63"/>
      </right>
      <top style="thin">
        <color theme="4"/>
      </top>
      <bottom style="double">
        <color theme="4"/>
      </bottom>
    </border>
    <border>
      <left/>
      <right/>
      <top style="thin">
        <color indexed="62"/>
      </top>
      <bottom style="double">
        <color indexed="62"/>
      </bottom>
    </border>
    <border>
      <left style="medium"/>
      <right/>
      <top/>
      <bottom/>
    </border>
    <border>
      <left style="thin"/>
      <right style="thin"/>
      <top style="thin"/>
      <bottom style="thin"/>
    </border>
    <border>
      <left style="thin"/>
      <right style="thin"/>
      <top/>
      <bottom style="thin"/>
    </border>
    <border>
      <left style="medium"/>
      <right style="thin"/>
      <top style="thin"/>
      <bottom style="thin"/>
    </border>
    <border>
      <left style="thin"/>
      <right style="medium"/>
      <top/>
      <bottom style="thin"/>
    </border>
    <border>
      <left style="thin"/>
      <right style="medium"/>
      <top style="thin"/>
      <bottom style="thin"/>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right style="medium"/>
      <top/>
      <bottom/>
    </border>
    <border>
      <left style="medium"/>
      <right style="thin"/>
      <top/>
      <bottom/>
    </border>
    <border>
      <left/>
      <right/>
      <top style="medium"/>
      <bottom style="thin"/>
    </border>
    <border>
      <left/>
      <right style="medium"/>
      <top/>
      <bottom style="thin"/>
    </border>
    <border>
      <left style="medium"/>
      <right style="medium"/>
      <top/>
      <bottom/>
    </border>
    <border>
      <left/>
      <right/>
      <top style="thin"/>
      <bottom/>
    </border>
    <border>
      <left/>
      <right/>
      <top style="medium"/>
      <bottom style="medium"/>
    </border>
    <border>
      <left style="thin"/>
      <right style="thin"/>
      <top style="thin"/>
      <bottom/>
    </border>
    <border>
      <left style="medium"/>
      <right/>
      <top style="medium"/>
      <bottom style="medium"/>
    </border>
    <border>
      <left style="medium"/>
      <right style="medium"/>
      <top style="medium"/>
      <bottom style="medium"/>
    </border>
    <border>
      <left/>
      <right style="medium"/>
      <top style="medium"/>
      <bottom style="medium"/>
    </border>
    <border>
      <left/>
      <right/>
      <top/>
      <bottom style="thin"/>
    </border>
    <border>
      <left/>
      <right style="thin"/>
      <top style="thin"/>
      <bottom style="thin"/>
    </border>
    <border>
      <left/>
      <right/>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hair"/>
      <top/>
      <bottom style="hair"/>
    </border>
    <border>
      <left style="hair"/>
      <right style="hair"/>
      <top style="hair"/>
      <bottom style="hair"/>
    </border>
    <border>
      <left style="hair"/>
      <right style="hair"/>
      <top/>
      <bottom style="hair"/>
    </border>
    <border>
      <left style="hair"/>
      <right style="medium"/>
      <top style="hair"/>
      <bottom style="hair"/>
    </border>
    <border>
      <left style="hair"/>
      <right style="medium"/>
      <top/>
      <bottom style="hair"/>
    </border>
    <border>
      <left style="thin"/>
      <right style="thin"/>
      <top style="thin"/>
      <bottom style="medium"/>
    </border>
    <border>
      <left style="hair"/>
      <right style="hair"/>
      <top style="thin"/>
      <bottom style="hair"/>
    </border>
    <border>
      <left style="hair"/>
      <right/>
      <top style="thin"/>
      <bottom style="hair"/>
    </border>
    <border>
      <left style="hair"/>
      <right/>
      <top style="hair"/>
      <bottom style="hair"/>
    </border>
    <border>
      <left/>
      <right style="hair"/>
      <top style="hair"/>
      <bottom style="hair"/>
    </border>
    <border>
      <left style="medium"/>
      <right style="hair"/>
      <top style="thin"/>
      <bottom style="hair"/>
    </border>
    <border>
      <left style="hair"/>
      <right style="medium"/>
      <top style="thin"/>
      <bottom style="hair"/>
    </border>
    <border>
      <left style="thin"/>
      <right/>
      <top/>
      <bottom style="medium"/>
    </border>
    <border>
      <left style="thin"/>
      <right/>
      <top style="thin"/>
      <bottom style="thin"/>
    </border>
    <border>
      <left/>
      <right style="hair"/>
      <top/>
      <bottom style="hair"/>
    </border>
    <border>
      <left style="hair"/>
      <right/>
      <top/>
      <bottom style="hair"/>
    </border>
    <border>
      <left style="thin"/>
      <right style="medium"/>
      <top style="thin">
        <color theme="0"/>
      </top>
      <bottom/>
    </border>
    <border>
      <left style="hair"/>
      <right/>
      <top/>
      <bottom/>
    </border>
    <border>
      <left style="hair"/>
      <right style="hair"/>
      <top/>
      <bottom/>
    </border>
    <border>
      <left style="hair"/>
      <right/>
      <top style="hair"/>
      <bottom/>
    </border>
    <border>
      <left style="hair"/>
      <right style="hair"/>
      <top style="hair"/>
      <bottom/>
    </border>
    <border>
      <left style="hair"/>
      <right style="medium"/>
      <top style="hair"/>
      <bottom/>
    </border>
    <border>
      <left/>
      <right style="hair"/>
      <top/>
      <bottom/>
    </border>
    <border>
      <left style="thin"/>
      <right style="thin"/>
      <top/>
      <bottom/>
    </border>
    <border>
      <left style="medium"/>
      <right style="medium"/>
      <top/>
      <bottom style="medium"/>
    </border>
    <border>
      <left/>
      <right style="thin"/>
      <top/>
      <bottom/>
    </border>
    <border>
      <left/>
      <right style="thin"/>
      <top/>
      <bottom style="thin"/>
    </border>
    <border>
      <left/>
      <right style="thin"/>
      <top style="thin"/>
      <bottom/>
    </border>
    <border>
      <left style="thin"/>
      <right/>
      <top style="thin"/>
      <bottom/>
    </border>
    <border>
      <left/>
      <right/>
      <top style="thin"/>
      <bottom style="thin"/>
    </border>
    <border>
      <left style="thin"/>
      <right style="medium"/>
      <top style="thin"/>
      <bottom/>
    </border>
    <border>
      <left/>
      <right style="medium"/>
      <top style="thin"/>
      <bottom style="thin"/>
    </border>
    <border>
      <left style="medium"/>
      <right style="hair"/>
      <top/>
      <bottom/>
    </border>
    <border>
      <left style="medium"/>
      <right style="thin"/>
      <top/>
      <bottom style="medium"/>
    </border>
    <border>
      <left style="thin"/>
      <right style="medium"/>
      <top/>
      <bottom style="medium"/>
    </border>
    <border>
      <left/>
      <right style="hair"/>
      <top style="hair"/>
      <bottom/>
    </border>
    <border>
      <left style="thin"/>
      <right style="medium"/>
      <top style="thin"/>
      <bottom style="medium"/>
    </border>
    <border>
      <left style="medium"/>
      <right style="hair"/>
      <top style="hair"/>
      <bottom style="hair"/>
    </border>
    <border>
      <left/>
      <right/>
      <top style="hair"/>
      <bottom/>
    </border>
    <border>
      <left style="hair"/>
      <right style="medium"/>
      <top/>
      <bottom/>
    </border>
    <border>
      <left style="hair"/>
      <right style="hair"/>
      <top/>
      <bottom style="thin"/>
    </border>
    <border>
      <left style="medium"/>
      <right style="hair"/>
      <top style="hair"/>
      <bottom/>
    </border>
    <border>
      <left style="medium"/>
      <right style="hair"/>
      <top/>
      <bottom style="medium"/>
    </border>
    <border>
      <left style="hair"/>
      <right style="hair"/>
      <top style="hair"/>
      <bottom style="medium"/>
    </border>
    <border>
      <left style="hair"/>
      <right/>
      <top style="hair"/>
      <bottom style="medium"/>
    </border>
    <border>
      <left style="hair"/>
      <right/>
      <top/>
      <bottom style="medium"/>
    </border>
    <border>
      <left style="medium"/>
      <right/>
      <top style="thin"/>
      <bottom style="thin"/>
    </border>
    <border>
      <left/>
      <right style="thin"/>
      <top/>
      <bottom style="medium"/>
    </border>
    <border>
      <left style="medium"/>
      <right/>
      <top style="medium"/>
      <bottom style="thin"/>
    </border>
    <border>
      <left/>
      <right style="thin"/>
      <top style="medium"/>
      <bottom style="thin"/>
    </border>
    <border>
      <left style="thin"/>
      <right/>
      <top/>
      <bottom style="thin"/>
    </border>
    <border>
      <left style="medium"/>
      <right style="thin"/>
      <top style="thin"/>
      <bottom style="medium"/>
    </border>
    <border>
      <left style="medium"/>
      <right style="thin"/>
      <top/>
      <bottom style="thin"/>
    </border>
  </borders>
  <cellStyleXfs count="42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49"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49"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49"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49"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9"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9"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3" borderId="0" applyNumberFormat="0" applyBorder="0" applyAlignment="0" applyProtection="0"/>
    <xf numFmtId="0" fontId="49"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49" fillId="2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9" fillId="28"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49" fillId="2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9" fillId="30"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 fillId="32"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8" borderId="0" applyNumberFormat="0" applyBorder="0" applyAlignment="0" applyProtection="0"/>
    <xf numFmtId="0" fontId="5" fillId="32" borderId="0" applyNumberFormat="0" applyBorder="0" applyAlignment="0" applyProtection="0"/>
    <xf numFmtId="0" fontId="5" fillId="3" borderId="0" applyNumberFormat="0" applyBorder="0" applyAlignment="0" applyProtection="0"/>
    <xf numFmtId="0" fontId="50" fillId="33"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0" fillId="3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0" fillId="36"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0" fillId="37"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0" fillId="39"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0" fillId="41"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32" borderId="0" applyNumberFormat="0" applyBorder="0" applyAlignment="0" applyProtection="0"/>
    <xf numFmtId="0" fontId="5" fillId="43" borderId="0" applyNumberFormat="0" applyBorder="0" applyAlignment="0" applyProtection="0"/>
    <xf numFmtId="0" fontId="5" fillId="44" borderId="0" applyNumberFormat="0" applyBorder="0" applyAlignment="0" applyProtection="0"/>
    <xf numFmtId="0" fontId="5" fillId="45" borderId="0" applyNumberFormat="0" applyBorder="0" applyAlignment="0" applyProtection="0"/>
    <xf numFmtId="0" fontId="5" fillId="32" borderId="0" applyNumberFormat="0" applyBorder="0" applyAlignment="0" applyProtection="0"/>
    <xf numFmtId="0" fontId="5" fillId="46" borderId="0" applyNumberFormat="0" applyBorder="0" applyAlignment="0" applyProtection="0"/>
    <xf numFmtId="0" fontId="11" fillId="47" borderId="0" applyNumberFormat="0" applyBorder="0" applyAlignment="0" applyProtection="0"/>
    <xf numFmtId="0" fontId="51" fillId="4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7" fillId="2" borderId="1" applyNumberFormat="0" applyAlignment="0" applyProtection="0"/>
    <xf numFmtId="0" fontId="52" fillId="49" borderId="2" applyNumberFormat="0" applyAlignment="0" applyProtection="0"/>
    <xf numFmtId="0" fontId="7" fillId="50" borderId="1" applyNumberFormat="0" applyAlignment="0" applyProtection="0"/>
    <xf numFmtId="0" fontId="7" fillId="50" borderId="1" applyNumberFormat="0" applyAlignment="0" applyProtection="0"/>
    <xf numFmtId="0" fontId="7" fillId="50" borderId="1" applyNumberFormat="0" applyAlignment="0" applyProtection="0"/>
    <xf numFmtId="0" fontId="7" fillId="50" borderId="1" applyNumberFormat="0" applyAlignment="0" applyProtection="0"/>
    <xf numFmtId="0" fontId="7" fillId="50" borderId="1" applyNumberFormat="0" applyAlignment="0" applyProtection="0"/>
    <xf numFmtId="0" fontId="7" fillId="50" borderId="1" applyNumberFormat="0" applyAlignment="0" applyProtection="0"/>
    <xf numFmtId="0" fontId="7" fillId="50" borderId="1" applyNumberFormat="0" applyAlignment="0" applyProtection="0"/>
    <xf numFmtId="0" fontId="53" fillId="51" borderId="3" applyNumberFormat="0" applyAlignment="0" applyProtection="0"/>
    <xf numFmtId="0" fontId="8" fillId="52" borderId="4" applyNumberFormat="0" applyAlignment="0" applyProtection="0"/>
    <xf numFmtId="0" fontId="8" fillId="52" borderId="4" applyNumberFormat="0" applyAlignment="0" applyProtection="0"/>
    <xf numFmtId="0" fontId="8" fillId="52" borderId="4" applyNumberFormat="0" applyAlignment="0" applyProtection="0"/>
    <xf numFmtId="0" fontId="8" fillId="52" borderId="4" applyNumberFormat="0" applyAlignment="0" applyProtection="0"/>
    <xf numFmtId="0" fontId="8" fillId="52" borderId="4" applyNumberFormat="0" applyAlignment="0" applyProtection="0"/>
    <xf numFmtId="0" fontId="8" fillId="52" borderId="4" applyNumberFormat="0" applyAlignment="0" applyProtection="0"/>
    <xf numFmtId="0" fontId="8" fillId="52" borderId="4" applyNumberFormat="0" applyAlignment="0" applyProtection="0"/>
    <xf numFmtId="0" fontId="54"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8" fillId="53" borderId="4" applyNumberFormat="0" applyAlignment="0" applyProtection="0"/>
    <xf numFmtId="0" fontId="13" fillId="54" borderId="7">
      <alignment horizontal="left" vertical="center"/>
      <protection/>
    </xf>
    <xf numFmtId="0" fontId="50" fillId="55"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 fillId="56" borderId="0" applyNumberFormat="0" applyBorder="0" applyAlignment="0" applyProtection="0"/>
    <xf numFmtId="0" fontId="50" fillId="57"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 fillId="58" borderId="0" applyNumberFormat="0" applyBorder="0" applyAlignment="0" applyProtection="0"/>
    <xf numFmtId="0" fontId="50" fillId="59"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 fillId="60" borderId="0" applyNumberFormat="0" applyBorder="0" applyAlignment="0" applyProtection="0"/>
    <xf numFmtId="0" fontId="50" fillId="61"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0" fillId="62"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 fillId="40" borderId="0" applyNumberFormat="0" applyBorder="0" applyAlignment="0" applyProtection="0"/>
    <xf numFmtId="0" fontId="50" fillId="63"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 fillId="64" borderId="0" applyNumberFormat="0" applyBorder="0" applyAlignment="0" applyProtection="0"/>
    <xf numFmtId="0" fontId="55" fillId="65" borderId="2" applyNumberFormat="0" applyAlignment="0" applyProtection="0"/>
    <xf numFmtId="0" fontId="10" fillId="17" borderId="1" applyNumberFormat="0" applyAlignment="0" applyProtection="0"/>
    <xf numFmtId="0" fontId="10" fillId="17" borderId="1" applyNumberFormat="0" applyAlignment="0" applyProtection="0"/>
    <xf numFmtId="0" fontId="10" fillId="17" borderId="1" applyNumberFormat="0" applyAlignment="0" applyProtection="0"/>
    <xf numFmtId="0" fontId="10" fillId="17" borderId="1" applyNumberFormat="0" applyAlignment="0" applyProtection="0"/>
    <xf numFmtId="0" fontId="10" fillId="17" borderId="1" applyNumberFormat="0" applyAlignment="0" applyProtection="0"/>
    <xf numFmtId="0" fontId="10" fillId="17" borderId="1" applyNumberFormat="0" applyAlignment="0" applyProtection="0"/>
    <xf numFmtId="0" fontId="10" fillId="17" borderId="1" applyNumberFormat="0" applyAlignment="0" applyProtection="0"/>
    <xf numFmtId="167" fontId="0" fillId="0" borderId="0">
      <alignment horizontal="center" vertical="center"/>
      <protection/>
    </xf>
    <xf numFmtId="0" fontId="0" fillId="0" borderId="0">
      <alignment vertical="center"/>
      <protection/>
    </xf>
    <xf numFmtId="0" fontId="1" fillId="0" borderId="0">
      <alignment/>
      <protection/>
    </xf>
    <xf numFmtId="0" fontId="0" fillId="0" borderId="0">
      <alignment vertical="center"/>
      <protection/>
    </xf>
    <xf numFmtId="0" fontId="15" fillId="0" borderId="0" applyNumberFormat="0" applyFill="0" applyBorder="0" applyAlignment="0" applyProtection="0"/>
    <xf numFmtId="0" fontId="6" fillId="66" borderId="0" applyNumberFormat="0" applyBorder="0" applyAlignment="0" applyProtection="0"/>
    <xf numFmtId="0" fontId="21" fillId="0" borderId="8"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37" fillId="0" borderId="0" applyNumberFormat="0" applyFill="0" applyBorder="0" applyAlignment="0" applyProtection="0"/>
    <xf numFmtId="0" fontId="56" fillId="67"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0" fillId="3" borderId="1" applyNumberFormat="0" applyAlignment="0" applyProtection="0"/>
    <xf numFmtId="0" fontId="9" fillId="0" borderId="6"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164" fontId="0" fillId="0" borderId="0" applyFont="0" applyFill="0" applyBorder="0" applyAlignment="0" applyProtection="0"/>
    <xf numFmtId="166" fontId="0" fillId="0" borderId="0" applyFont="0" applyFill="0" applyBorder="0" applyAlignment="0" applyProtection="0"/>
    <xf numFmtId="170" fontId="0" fillId="0" borderId="0" applyFill="0" applyBorder="0" applyAlignment="0" applyProtection="0"/>
    <xf numFmtId="164" fontId="0" fillId="0" borderId="0" applyFont="0" applyFill="0" applyBorder="0" applyAlignment="0" applyProtection="0"/>
    <xf numFmtId="0" fontId="57" fillId="68"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69" borderId="0" applyNumberFormat="0" applyBorder="0" applyAlignment="0" applyProtection="0"/>
    <xf numFmtId="0" fontId="12" fillId="20"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70" borderId="11" applyNumberFormat="0" applyFont="0" applyAlignment="0" applyProtection="0"/>
    <xf numFmtId="0" fontId="0" fillId="54" borderId="12" applyNumberFormat="0" applyAlignment="0" applyProtection="0"/>
    <xf numFmtId="0" fontId="0" fillId="54" borderId="12" applyNumberFormat="0" applyAlignment="0" applyProtection="0"/>
    <xf numFmtId="0" fontId="0" fillId="54" borderId="12" applyNumberFormat="0" applyAlignment="0" applyProtection="0"/>
    <xf numFmtId="0" fontId="0" fillId="54" borderId="12" applyNumberFormat="0" applyAlignment="0" applyProtection="0"/>
    <xf numFmtId="0" fontId="0" fillId="54" borderId="12" applyNumberFormat="0" applyAlignment="0" applyProtection="0"/>
    <xf numFmtId="0" fontId="0" fillId="54" borderId="12" applyNumberFormat="0" applyAlignment="0" applyProtection="0"/>
    <xf numFmtId="0" fontId="0" fillId="54" borderId="12" applyNumberFormat="0" applyAlignment="0" applyProtection="0"/>
    <xf numFmtId="0" fontId="0" fillId="4" borderId="12" applyNumberFormat="0" applyFont="0" applyAlignment="0" applyProtection="0"/>
    <xf numFmtId="0" fontId="13" fillId="2" borderId="13" applyNumberFormat="0" applyAlignment="0" applyProtection="0"/>
    <xf numFmtId="0" fontId="24" fillId="0" borderId="14" applyNumberFormat="0" applyFont="0" applyBorder="0" applyAlignment="0">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58" fillId="49" borderId="15" applyNumberFormat="0" applyAlignment="0" applyProtection="0"/>
    <xf numFmtId="0" fontId="13" fillId="50" borderId="13" applyNumberFormat="0" applyAlignment="0" applyProtection="0"/>
    <xf numFmtId="0" fontId="13" fillId="50" borderId="13" applyNumberFormat="0" applyAlignment="0" applyProtection="0"/>
    <xf numFmtId="0" fontId="13" fillId="50" borderId="13" applyNumberFormat="0" applyAlignment="0" applyProtection="0"/>
    <xf numFmtId="0" fontId="13" fillId="50" borderId="13" applyNumberFormat="0" applyAlignment="0" applyProtection="0"/>
    <xf numFmtId="0" fontId="13" fillId="50" borderId="13" applyNumberFormat="0" applyAlignment="0" applyProtection="0"/>
    <xf numFmtId="0" fontId="13" fillId="50" borderId="13" applyNumberFormat="0" applyAlignment="0" applyProtection="0"/>
    <xf numFmtId="0" fontId="13" fillId="50" borderId="13" applyNumberFormat="0" applyAlignment="0" applyProtection="0"/>
    <xf numFmtId="41"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5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6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5" fillId="0" borderId="0" applyNumberFormat="0" applyFill="0" applyBorder="0" applyAlignment="0" applyProtection="0"/>
    <xf numFmtId="0" fontId="61" fillId="0" borderId="0" applyNumberFormat="0" applyFill="0" applyBorder="0" applyAlignment="0" applyProtection="0"/>
    <xf numFmtId="0" fontId="62" fillId="0" borderId="16" applyNumberFormat="0" applyFill="0" applyAlignment="0" applyProtection="0"/>
    <xf numFmtId="0" fontId="16" fillId="0" borderId="0" applyNumberFormat="0" applyFill="0" applyBorder="0" applyAlignment="0" applyProtection="0"/>
    <xf numFmtId="0" fontId="17" fillId="0" borderId="17" applyNumberFormat="0" applyFill="0" applyAlignment="0" applyProtection="0"/>
    <xf numFmtId="0" fontId="17" fillId="0" borderId="17" applyNumberFormat="0" applyFill="0" applyAlignment="0" applyProtection="0"/>
    <xf numFmtId="0" fontId="17" fillId="0" borderId="17" applyNumberFormat="0" applyFill="0" applyAlignment="0" applyProtection="0"/>
    <xf numFmtId="0" fontId="17" fillId="0" borderId="17" applyNumberFormat="0" applyFill="0" applyAlignment="0" applyProtection="0"/>
    <xf numFmtId="0" fontId="17" fillId="0" borderId="17" applyNumberFormat="0" applyFill="0" applyAlignment="0" applyProtection="0"/>
    <xf numFmtId="0" fontId="17" fillId="0" borderId="17" applyNumberFormat="0" applyFill="0" applyAlignment="0" applyProtection="0"/>
    <xf numFmtId="0" fontId="17" fillId="0" borderId="17" applyNumberFormat="0" applyFill="0" applyAlignment="0" applyProtection="0"/>
    <xf numFmtId="0" fontId="17" fillId="0" borderId="17" applyNumberFormat="0" applyFill="0" applyAlignment="0" applyProtection="0"/>
    <xf numFmtId="0" fontId="17" fillId="0" borderId="17"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3" fillId="0" borderId="18"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18" fillId="0" borderId="9" applyNumberFormat="0" applyFill="0" applyAlignment="0" applyProtection="0"/>
    <xf numFmtId="0" fontId="64" fillId="0" borderId="19"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19" fillId="0" borderId="20" applyNumberFormat="0" applyFill="0" applyAlignment="0" applyProtection="0"/>
    <xf numFmtId="0" fontId="64"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65" fillId="0" borderId="21" applyNumberFormat="0" applyFill="0" applyAlignment="0" applyProtection="0"/>
    <xf numFmtId="0" fontId="20" fillId="0" borderId="22" applyNumberFormat="0" applyFill="0" applyAlignment="0" applyProtection="0"/>
    <xf numFmtId="0" fontId="20" fillId="0" borderId="22" applyNumberFormat="0" applyFill="0" applyAlignment="0" applyProtection="0"/>
    <xf numFmtId="0" fontId="20" fillId="0" borderId="22" applyNumberFormat="0" applyFill="0" applyAlignment="0" applyProtection="0"/>
    <xf numFmtId="0" fontId="20" fillId="0" borderId="22" applyNumberFormat="0" applyFill="0" applyAlignment="0" applyProtection="0"/>
    <xf numFmtId="0" fontId="20" fillId="0" borderId="22" applyNumberFormat="0" applyFill="0" applyAlignment="0" applyProtection="0"/>
    <xf numFmtId="0" fontId="20" fillId="0" borderId="22" applyNumberFormat="0" applyFill="0" applyAlignment="0" applyProtection="0"/>
    <xf numFmtId="0" fontId="20" fillId="0" borderId="22" applyNumberFormat="0" applyFill="0" applyAlignment="0" applyProtection="0"/>
    <xf numFmtId="165" fontId="0" fillId="0" borderId="0" applyFont="0" applyFill="0" applyBorder="0" applyAlignment="0" applyProtection="0"/>
    <xf numFmtId="165" fontId="0" fillId="0" borderId="0" applyFont="0" applyFill="0" applyBorder="0" applyAlignment="0" applyProtection="0"/>
    <xf numFmtId="168"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14" fillId="0" borderId="0" applyNumberFormat="0" applyFill="0" applyBorder="0" applyAlignment="0" applyProtection="0"/>
  </cellStyleXfs>
  <cellXfs count="698">
    <xf numFmtId="0" fontId="0" fillId="0" borderId="0" xfId="0" applyAlignment="1">
      <alignment/>
    </xf>
    <xf numFmtId="0" fontId="2" fillId="0" borderId="0" xfId="0" applyFont="1" applyBorder="1" applyAlignment="1" applyProtection="1">
      <alignment horizontal="left" vertical="center"/>
      <protection/>
    </xf>
    <xf numFmtId="0" fontId="2" fillId="0" borderId="0" xfId="0" applyFont="1" applyAlignment="1" applyProtection="1">
      <alignment vertical="center"/>
      <protection/>
    </xf>
    <xf numFmtId="0" fontId="2" fillId="0" borderId="0" xfId="0" applyFont="1" applyBorder="1" applyAlignment="1" applyProtection="1">
      <alignment vertical="center"/>
      <protection/>
    </xf>
    <xf numFmtId="0" fontId="2" fillId="0" borderId="0" xfId="0" applyFont="1" applyAlignment="1" applyProtection="1">
      <alignment horizontal="left" vertical="center"/>
      <protection/>
    </xf>
    <xf numFmtId="0" fontId="2" fillId="0" borderId="23" xfId="0" applyFont="1" applyBorder="1" applyAlignment="1" applyProtection="1">
      <alignment vertical="center"/>
      <protection/>
    </xf>
    <xf numFmtId="0" fontId="3" fillId="0" borderId="0" xfId="0" applyFont="1" applyBorder="1" applyAlignment="1" applyProtection="1">
      <alignment horizontal="left" vertical="center"/>
      <protection/>
    </xf>
    <xf numFmtId="0" fontId="28" fillId="0" borderId="0" xfId="0" applyFont="1" applyBorder="1" applyAlignment="1" applyProtection="1">
      <alignment horizontal="left" vertical="center"/>
      <protection/>
    </xf>
    <xf numFmtId="0" fontId="2" fillId="0" borderId="24" xfId="0" applyFont="1" applyBorder="1" applyAlignment="1" applyProtection="1">
      <alignment vertical="center"/>
      <protection/>
    </xf>
    <xf numFmtId="0" fontId="2" fillId="0" borderId="24" xfId="0" applyFont="1" applyBorder="1" applyAlignment="1" applyProtection="1">
      <alignment horizontal="left" vertical="center"/>
      <protection/>
    </xf>
    <xf numFmtId="0" fontId="3" fillId="0" borderId="24" xfId="0" applyFont="1" applyBorder="1" applyAlignment="1" applyProtection="1">
      <alignment horizontal="left" vertical="center"/>
      <protection/>
    </xf>
    <xf numFmtId="0" fontId="27" fillId="0" borderId="25" xfId="0" applyFont="1" applyBorder="1" applyAlignment="1" applyProtection="1">
      <alignment horizontal="center" vertical="center"/>
      <protection/>
    </xf>
    <xf numFmtId="0" fontId="27" fillId="0" borderId="25" xfId="0" applyFont="1" applyBorder="1" applyAlignment="1" applyProtection="1">
      <alignment horizontal="left" vertical="center"/>
      <protection/>
    </xf>
    <xf numFmtId="0" fontId="30" fillId="0" borderId="25" xfId="0" applyFont="1" applyBorder="1" applyAlignment="1" applyProtection="1">
      <alignment horizontal="left" vertical="center"/>
      <protection/>
    </xf>
    <xf numFmtId="0" fontId="27" fillId="0" borderId="24" xfId="0" applyFont="1" applyBorder="1" applyAlignment="1" applyProtection="1">
      <alignment vertical="center"/>
      <protection/>
    </xf>
    <xf numFmtId="169" fontId="2" fillId="0" borderId="24" xfId="0" applyNumberFormat="1" applyFont="1" applyBorder="1" applyAlignment="1" applyProtection="1">
      <alignment horizontal="left" vertical="center"/>
      <protection/>
    </xf>
    <xf numFmtId="0" fontId="27" fillId="0" borderId="26" xfId="0" applyFont="1" applyBorder="1" applyAlignment="1" applyProtection="1">
      <alignment vertical="center"/>
      <protection/>
    </xf>
    <xf numFmtId="0" fontId="27" fillId="0" borderId="27" xfId="0" applyFont="1" applyBorder="1" applyAlignment="1" applyProtection="1">
      <alignment horizontal="left" vertical="center"/>
      <protection/>
    </xf>
    <xf numFmtId="0" fontId="2" fillId="0" borderId="26" xfId="0" applyFont="1" applyBorder="1" applyAlignment="1" applyProtection="1">
      <alignment vertical="center"/>
      <protection/>
    </xf>
    <xf numFmtId="169" fontId="2" fillId="0" borderId="28" xfId="0" applyNumberFormat="1" applyFont="1" applyBorder="1" applyAlignment="1" applyProtection="1">
      <alignment horizontal="left" vertical="center"/>
      <protection/>
    </xf>
    <xf numFmtId="0" fontId="2" fillId="0" borderId="29" xfId="0" applyFont="1" applyBorder="1" applyAlignment="1" applyProtection="1">
      <alignment vertical="center"/>
      <protection/>
    </xf>
    <xf numFmtId="0" fontId="2" fillId="0" borderId="30" xfId="0" applyFont="1" applyBorder="1" applyAlignment="1" applyProtection="1">
      <alignment vertical="center"/>
      <protection/>
    </xf>
    <xf numFmtId="0" fontId="2" fillId="0" borderId="30" xfId="0" applyFont="1" applyBorder="1" applyAlignment="1" applyProtection="1">
      <alignment horizontal="left" vertical="center"/>
      <protection/>
    </xf>
    <xf numFmtId="0" fontId="3" fillId="0" borderId="30" xfId="0" applyFont="1" applyBorder="1" applyAlignment="1" applyProtection="1">
      <alignment horizontal="left" vertical="center"/>
      <protection/>
    </xf>
    <xf numFmtId="0" fontId="2" fillId="0" borderId="31" xfId="0" applyFont="1" applyBorder="1" applyAlignment="1" applyProtection="1">
      <alignment horizontal="left" vertical="center"/>
      <protection/>
    </xf>
    <xf numFmtId="0" fontId="2" fillId="0" borderId="24" xfId="0" applyFont="1" applyBorder="1" applyAlignment="1" applyProtection="1">
      <alignment vertical="center"/>
      <protection locked="0"/>
    </xf>
    <xf numFmtId="0" fontId="2" fillId="0" borderId="24" xfId="0" applyFont="1" applyBorder="1" applyAlignment="1" applyProtection="1">
      <alignment horizontal="left" vertical="center"/>
      <protection locked="0"/>
    </xf>
    <xf numFmtId="0" fontId="3" fillId="0" borderId="24" xfId="0" applyFont="1" applyBorder="1" applyAlignment="1" applyProtection="1">
      <alignment horizontal="left" vertical="center"/>
      <protection locked="0"/>
    </xf>
    <xf numFmtId="0" fontId="2" fillId="0" borderId="24" xfId="0" applyFont="1" applyBorder="1" applyAlignment="1" applyProtection="1">
      <alignment horizontal="left" vertical="center" wrapText="1"/>
      <protection/>
    </xf>
    <xf numFmtId="0" fontId="66" fillId="0" borderId="32" xfId="0" applyFont="1" applyBorder="1" applyAlignment="1">
      <alignment horizontal="center"/>
    </xf>
    <xf numFmtId="0" fontId="66" fillId="0" borderId="33" xfId="0" applyFont="1" applyBorder="1" applyAlignment="1">
      <alignment/>
    </xf>
    <xf numFmtId="0" fontId="66" fillId="0" borderId="33" xfId="0" applyFont="1" applyBorder="1" applyAlignment="1">
      <alignment horizontal="center"/>
    </xf>
    <xf numFmtId="0" fontId="66" fillId="0" borderId="34" xfId="0" applyFont="1" applyBorder="1" applyAlignment="1">
      <alignment/>
    </xf>
    <xf numFmtId="0" fontId="66" fillId="0" borderId="23" xfId="0" applyFont="1" applyBorder="1" applyAlignment="1">
      <alignment horizontal="center"/>
    </xf>
    <xf numFmtId="0" fontId="66" fillId="0" borderId="0" xfId="0" applyFont="1" applyBorder="1" applyAlignment="1">
      <alignment/>
    </xf>
    <xf numFmtId="0" fontId="66" fillId="0" borderId="35" xfId="0" applyFont="1" applyBorder="1" applyAlignment="1">
      <alignment/>
    </xf>
    <xf numFmtId="0" fontId="67" fillId="0" borderId="0" xfId="0" applyFont="1" applyBorder="1" applyAlignment="1">
      <alignment horizontal="center"/>
    </xf>
    <xf numFmtId="2" fontId="67" fillId="0" borderId="0" xfId="0" applyNumberFormat="1" applyFont="1" applyBorder="1" applyAlignment="1">
      <alignment horizontal="center"/>
    </xf>
    <xf numFmtId="2" fontId="66" fillId="0" borderId="0" xfId="0" applyNumberFormat="1" applyFont="1" applyBorder="1" applyAlignment="1">
      <alignment horizontal="center" vertical="center"/>
    </xf>
    <xf numFmtId="2" fontId="66" fillId="0" borderId="35" xfId="0" applyNumberFormat="1" applyFont="1" applyBorder="1" applyAlignment="1">
      <alignment horizontal="center"/>
    </xf>
    <xf numFmtId="0" fontId="67" fillId="0" borderId="23" xfId="0" applyFont="1" applyFill="1" applyBorder="1" applyAlignment="1">
      <alignment horizontal="center" vertical="center"/>
    </xf>
    <xf numFmtId="2" fontId="0" fillId="0" borderId="0" xfId="0" applyNumberFormat="1" applyFont="1" applyBorder="1" applyAlignment="1">
      <alignment horizontal="center" vertical="center"/>
    </xf>
    <xf numFmtId="0" fontId="68" fillId="0" borderId="0" xfId="0" applyFont="1" applyBorder="1" applyAlignment="1">
      <alignment horizontal="left" vertical="center" wrapText="1"/>
    </xf>
    <xf numFmtId="2" fontId="68" fillId="0" borderId="0" xfId="0" applyNumberFormat="1" applyFont="1" applyBorder="1" applyAlignment="1">
      <alignment horizontal="center" vertical="center"/>
    </xf>
    <xf numFmtId="0" fontId="68" fillId="0" borderId="35" xfId="0" applyFont="1" applyBorder="1" applyAlignment="1">
      <alignment horizontal="center" vertical="center"/>
    </xf>
    <xf numFmtId="0" fontId="66" fillId="0" borderId="0" xfId="0" applyFont="1" applyBorder="1" applyAlignment="1">
      <alignment horizontal="center"/>
    </xf>
    <xf numFmtId="0" fontId="66" fillId="0" borderId="32" xfId="0" applyFont="1" applyBorder="1" applyAlignment="1">
      <alignment horizontal="center" vertical="center"/>
    </xf>
    <xf numFmtId="0" fontId="67" fillId="0" borderId="29" xfId="0" applyFont="1" applyFill="1" applyBorder="1" applyAlignment="1">
      <alignment horizontal="center" vertical="center"/>
    </xf>
    <xf numFmtId="0" fontId="66" fillId="0" borderId="29" xfId="0" applyFont="1" applyBorder="1" applyAlignment="1">
      <alignment horizontal="center" vertical="center"/>
    </xf>
    <xf numFmtId="0" fontId="66" fillId="0" borderId="0" xfId="0" applyFont="1" applyBorder="1" applyAlignment="1">
      <alignment vertical="center"/>
    </xf>
    <xf numFmtId="0" fontId="66" fillId="0" borderId="0" xfId="0" applyFont="1" applyBorder="1" applyAlignment="1">
      <alignment horizontal="center" vertical="center"/>
    </xf>
    <xf numFmtId="2" fontId="66" fillId="0" borderId="0" xfId="0" applyNumberFormat="1" applyFont="1" applyBorder="1" applyAlignment="1">
      <alignment vertical="center"/>
    </xf>
    <xf numFmtId="0" fontId="0" fillId="0" borderId="0" xfId="0" applyBorder="1" applyAlignment="1">
      <alignment/>
    </xf>
    <xf numFmtId="0" fontId="66" fillId="0" borderId="23" xfId="0" applyFont="1" applyBorder="1" applyAlignment="1">
      <alignment vertical="center"/>
    </xf>
    <xf numFmtId="0" fontId="0" fillId="0" borderId="23" xfId="0" applyBorder="1" applyAlignment="1">
      <alignment/>
    </xf>
    <xf numFmtId="0" fontId="0" fillId="0" borderId="35" xfId="0" applyBorder="1" applyAlignment="1">
      <alignment/>
    </xf>
    <xf numFmtId="0" fontId="66" fillId="0" borderId="30" xfId="0" applyFont="1" applyBorder="1" applyAlignment="1">
      <alignment horizontal="center"/>
    </xf>
    <xf numFmtId="0" fontId="0" fillId="0" borderId="0" xfId="0" applyFont="1" applyBorder="1" applyAlignment="1">
      <alignment horizontal="center"/>
    </xf>
    <xf numFmtId="0" fontId="0" fillId="0" borderId="36" xfId="0" applyFont="1" applyBorder="1" applyAlignment="1">
      <alignment/>
    </xf>
    <xf numFmtId="0" fontId="0" fillId="0" borderId="0" xfId="0" applyFont="1" applyAlignment="1">
      <alignment/>
    </xf>
    <xf numFmtId="0" fontId="67" fillId="0" borderId="30" xfId="0" applyFont="1" applyBorder="1" applyAlignment="1">
      <alignment horizontal="center"/>
    </xf>
    <xf numFmtId="0" fontId="66" fillId="0" borderId="31" xfId="0" applyFont="1" applyBorder="1" applyAlignment="1">
      <alignment/>
    </xf>
    <xf numFmtId="0" fontId="66" fillId="0" borderId="37" xfId="0" applyFont="1" applyBorder="1" applyAlignment="1">
      <alignment/>
    </xf>
    <xf numFmtId="0" fontId="0" fillId="0" borderId="38" xfId="0" applyBorder="1" applyAlignment="1">
      <alignment/>
    </xf>
    <xf numFmtId="0" fontId="66" fillId="0" borderId="29" xfId="0" applyFont="1" applyBorder="1" applyAlignment="1">
      <alignment horizontal="center"/>
    </xf>
    <xf numFmtId="0" fontId="66" fillId="0" borderId="23" xfId="0" applyFont="1" applyFill="1" applyBorder="1" applyAlignment="1">
      <alignment horizontal="center" vertical="center"/>
    </xf>
    <xf numFmtId="2" fontId="66" fillId="0" borderId="0" xfId="0" applyNumberFormat="1" applyFont="1" applyFill="1" applyBorder="1" applyAlignment="1">
      <alignment horizontal="center" vertical="center"/>
    </xf>
    <xf numFmtId="0" fontId="0" fillId="0" borderId="39" xfId="0" applyBorder="1" applyAlignment="1">
      <alignment/>
    </xf>
    <xf numFmtId="2" fontId="67" fillId="0" borderId="30" xfId="0" applyNumberFormat="1" applyFont="1" applyBorder="1" applyAlignment="1">
      <alignment horizontal="center"/>
    </xf>
    <xf numFmtId="0" fontId="66" fillId="0" borderId="23" xfId="0" applyFont="1" applyBorder="1" applyAlignment="1">
      <alignment horizontal="center" vertical="center"/>
    </xf>
    <xf numFmtId="0" fontId="66" fillId="0" borderId="0" xfId="0" applyFont="1" applyBorder="1" applyAlignment="1">
      <alignment horizontal="center" vertical="center" wrapText="1"/>
    </xf>
    <xf numFmtId="2" fontId="0" fillId="0" borderId="40" xfId="0" applyNumberFormat="1" applyFont="1" applyBorder="1" applyAlignment="1">
      <alignment horizontal="center" vertical="center"/>
    </xf>
    <xf numFmtId="0" fontId="66" fillId="0" borderId="40" xfId="0" applyFont="1" applyBorder="1" applyAlignment="1">
      <alignment horizontal="center" vertical="center" wrapText="1"/>
    </xf>
    <xf numFmtId="2" fontId="0" fillId="0" borderId="0" xfId="0" applyNumberFormat="1" applyFont="1" applyBorder="1" applyAlignment="1">
      <alignment horizontal="center"/>
    </xf>
    <xf numFmtId="0" fontId="66" fillId="0" borderId="39" xfId="0" applyFont="1" applyBorder="1" applyAlignment="1">
      <alignment/>
    </xf>
    <xf numFmtId="0" fontId="0" fillId="0" borderId="41" xfId="0" applyBorder="1" applyAlignment="1">
      <alignment/>
    </xf>
    <xf numFmtId="0" fontId="66" fillId="0" borderId="42" xfId="0" applyFont="1" applyBorder="1" applyAlignment="1">
      <alignment horizontal="center" vertical="center" wrapText="1"/>
    </xf>
    <xf numFmtId="2" fontId="4" fillId="0" borderId="0" xfId="0" applyNumberFormat="1" applyFont="1" applyBorder="1" applyAlignment="1">
      <alignment horizontal="center" vertical="center"/>
    </xf>
    <xf numFmtId="0" fontId="67" fillId="0" borderId="43" xfId="0" applyFont="1" applyBorder="1" applyAlignment="1">
      <alignment horizontal="center"/>
    </xf>
    <xf numFmtId="0" fontId="67" fillId="71" borderId="44" xfId="0" applyFont="1" applyFill="1" applyBorder="1" applyAlignment="1">
      <alignment horizontal="center" vertical="center"/>
    </xf>
    <xf numFmtId="0" fontId="66" fillId="72" borderId="44" xfId="0" applyFont="1" applyFill="1" applyBorder="1" applyAlignment="1">
      <alignment horizontal="center" vertical="center"/>
    </xf>
    <xf numFmtId="2" fontId="66" fillId="72" borderId="44" xfId="0" applyNumberFormat="1" applyFont="1" applyFill="1" applyBorder="1" applyAlignment="1">
      <alignment horizontal="center" vertical="center"/>
    </xf>
    <xf numFmtId="0" fontId="66" fillId="71" borderId="45" xfId="0" applyFont="1" applyFill="1" applyBorder="1" applyAlignment="1">
      <alignment/>
    </xf>
    <xf numFmtId="0" fontId="0" fillId="0" borderId="30" xfId="0" applyBorder="1" applyAlignment="1">
      <alignment/>
    </xf>
    <xf numFmtId="2" fontId="0" fillId="0" borderId="42" xfId="0" applyNumberFormat="1" applyFont="1" applyBorder="1" applyAlignment="1">
      <alignment horizontal="center"/>
    </xf>
    <xf numFmtId="0" fontId="0" fillId="0" borderId="0" xfId="0" applyFont="1" applyAlignment="1">
      <alignment vertical="center"/>
    </xf>
    <xf numFmtId="0" fontId="66" fillId="0" borderId="42" xfId="0" applyFont="1" applyBorder="1" applyAlignment="1">
      <alignment horizontal="center"/>
    </xf>
    <xf numFmtId="2" fontId="4" fillId="0" borderId="43" xfId="0" applyNumberFormat="1" applyFont="1" applyBorder="1" applyAlignment="1">
      <alignment horizontal="center" vertical="center"/>
    </xf>
    <xf numFmtId="0" fontId="66" fillId="0" borderId="25" xfId="0" applyFont="1" applyBorder="1" applyAlignment="1">
      <alignment horizontal="center" wrapText="1"/>
    </xf>
    <xf numFmtId="2" fontId="0" fillId="0" borderId="25" xfId="0" applyNumberFormat="1" applyFont="1" applyBorder="1" applyAlignment="1">
      <alignment horizontal="center"/>
    </xf>
    <xf numFmtId="0" fontId="66" fillId="0" borderId="35" xfId="0" applyFont="1" applyBorder="1" applyAlignment="1">
      <alignment horizontal="center"/>
    </xf>
    <xf numFmtId="2" fontId="0" fillId="0" borderId="24" xfId="0" applyNumberFormat="1" applyFont="1" applyBorder="1" applyAlignment="1">
      <alignment horizontal="center"/>
    </xf>
    <xf numFmtId="0" fontId="66" fillId="0" borderId="24" xfId="0" applyFont="1" applyBorder="1" applyAlignment="1">
      <alignment horizontal="center"/>
    </xf>
    <xf numFmtId="0" fontId="66" fillId="0" borderId="34" xfId="0" applyFont="1" applyFill="1" applyBorder="1" applyAlignment="1">
      <alignment horizontal="center" vertical="center"/>
    </xf>
    <xf numFmtId="0" fontId="66" fillId="0" borderId="35" xfId="0" applyFont="1" applyBorder="1" applyAlignment="1">
      <alignment horizontal="center" vertical="center"/>
    </xf>
    <xf numFmtId="2" fontId="0" fillId="0" borderId="0" xfId="0" applyNumberFormat="1" applyFont="1" applyAlignment="1">
      <alignment/>
    </xf>
    <xf numFmtId="0" fontId="3" fillId="0" borderId="0" xfId="0" applyFont="1" applyAlignment="1">
      <alignment vertical="center"/>
    </xf>
    <xf numFmtId="0" fontId="66" fillId="0" borderId="30" xfId="0" applyFont="1" applyBorder="1" applyAlignment="1">
      <alignment/>
    </xf>
    <xf numFmtId="0" fontId="3" fillId="0" borderId="35" xfId="0" applyFont="1" applyBorder="1" applyAlignment="1">
      <alignment horizontal="center" vertical="center"/>
    </xf>
    <xf numFmtId="0" fontId="0" fillId="0" borderId="35" xfId="0" applyFont="1" applyBorder="1" applyAlignment="1">
      <alignment/>
    </xf>
    <xf numFmtId="0" fontId="0" fillId="0" borderId="46" xfId="0" applyBorder="1" applyAlignment="1">
      <alignment/>
    </xf>
    <xf numFmtId="0" fontId="66" fillId="0" borderId="24" xfId="0" applyFont="1" applyBorder="1" applyAlignment="1">
      <alignment horizontal="center" vertical="center"/>
    </xf>
    <xf numFmtId="0" fontId="66" fillId="0" borderId="24" xfId="0" applyFont="1" applyBorder="1" applyAlignment="1">
      <alignment horizontal="center" wrapText="1"/>
    </xf>
    <xf numFmtId="0" fontId="0" fillId="0" borderId="24" xfId="0" applyBorder="1" applyAlignment="1">
      <alignment horizontal="center" vertical="center"/>
    </xf>
    <xf numFmtId="0" fontId="66" fillId="0" borderId="24" xfId="0" applyFont="1" applyBorder="1" applyAlignment="1">
      <alignment horizontal="center" vertical="center" wrapText="1"/>
    </xf>
    <xf numFmtId="2" fontId="0" fillId="0" borderId="24" xfId="0" applyNumberFormat="1" applyFont="1" applyBorder="1" applyAlignment="1">
      <alignment horizontal="center" vertical="center"/>
    </xf>
    <xf numFmtId="2" fontId="66" fillId="0" borderId="24" xfId="0" applyNumberFormat="1" applyFont="1" applyBorder="1" applyAlignment="1">
      <alignment horizontal="center" vertical="center"/>
    </xf>
    <xf numFmtId="0" fontId="0" fillId="0" borderId="24" xfId="0" applyFont="1" applyBorder="1" applyAlignment="1">
      <alignment horizontal="center" vertical="center"/>
    </xf>
    <xf numFmtId="2" fontId="66" fillId="0" borderId="28" xfId="0" applyNumberFormat="1" applyFont="1" applyBorder="1" applyAlignment="1">
      <alignment horizontal="center" vertical="center"/>
    </xf>
    <xf numFmtId="2" fontId="66" fillId="0" borderId="47" xfId="0" applyNumberFormat="1" applyFont="1" applyBorder="1" applyAlignment="1">
      <alignment horizontal="center" vertical="center"/>
    </xf>
    <xf numFmtId="2" fontId="66" fillId="0" borderId="24" xfId="0" applyNumberFormat="1" applyFont="1" applyBorder="1" applyAlignment="1">
      <alignment horizontal="center"/>
    </xf>
    <xf numFmtId="2" fontId="0" fillId="0" borderId="24" xfId="0" applyNumberFormat="1" applyFont="1" applyFill="1" applyBorder="1" applyAlignment="1">
      <alignment horizontal="center" vertical="center"/>
    </xf>
    <xf numFmtId="0" fontId="67" fillId="0" borderId="24" xfId="0" applyFont="1" applyBorder="1" applyAlignment="1">
      <alignment horizontal="center" vertical="center"/>
    </xf>
    <xf numFmtId="2" fontId="4" fillId="0" borderId="24" xfId="0" applyNumberFormat="1" applyFont="1" applyFill="1" applyBorder="1" applyAlignment="1">
      <alignment horizontal="center" vertical="center"/>
    </xf>
    <xf numFmtId="0" fontId="0" fillId="0" borderId="23" xfId="0" applyFont="1" applyBorder="1" applyAlignment="1">
      <alignment vertical="center"/>
    </xf>
    <xf numFmtId="0" fontId="0" fillId="0" borderId="0" xfId="0" applyFont="1" applyBorder="1" applyAlignment="1">
      <alignment vertical="center"/>
    </xf>
    <xf numFmtId="0" fontId="0" fillId="0" borderId="23" xfId="0" applyFont="1" applyBorder="1" applyAlignment="1">
      <alignment/>
    </xf>
    <xf numFmtId="0" fontId="0" fillId="0" borderId="0" xfId="0" applyFont="1" applyBorder="1" applyAlignment="1">
      <alignment/>
    </xf>
    <xf numFmtId="0" fontId="0" fillId="0" borderId="0" xfId="0" applyBorder="1" applyAlignment="1">
      <alignment vertical="center"/>
    </xf>
    <xf numFmtId="0" fontId="4" fillId="0" borderId="43" xfId="0" applyFont="1" applyFill="1" applyBorder="1" applyAlignment="1">
      <alignment horizontal="center" vertical="center"/>
    </xf>
    <xf numFmtId="0" fontId="4" fillId="0" borderId="41"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48" xfId="0" applyFont="1" applyFill="1" applyBorder="1" applyAlignment="1">
      <alignment horizontal="center" vertical="center"/>
    </xf>
    <xf numFmtId="10" fontId="4" fillId="0" borderId="49" xfId="329" applyNumberFormat="1" applyFont="1" applyFill="1" applyBorder="1" applyAlignment="1">
      <alignment horizontal="center" vertical="center"/>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51" xfId="0" applyFont="1" applyFill="1" applyBorder="1" applyAlignment="1">
      <alignment horizontal="center" vertical="center" wrapText="1"/>
    </xf>
    <xf numFmtId="0" fontId="4" fillId="0" borderId="52" xfId="0" applyFont="1" applyFill="1" applyBorder="1" applyAlignment="1">
      <alignment horizontal="center" vertical="center" wrapText="1"/>
    </xf>
    <xf numFmtId="0" fontId="35" fillId="71" borderId="53" xfId="0" applyNumberFormat="1" applyFont="1" applyFill="1" applyBorder="1" applyAlignment="1">
      <alignment horizontal="center" vertical="center" wrapText="1"/>
    </xf>
    <xf numFmtId="0" fontId="35" fillId="71" borderId="54" xfId="0" applyNumberFormat="1" applyFont="1" applyFill="1" applyBorder="1" applyAlignment="1">
      <alignment horizontal="center" vertical="center" wrapText="1"/>
    </xf>
    <xf numFmtId="0" fontId="35" fillId="71" borderId="54" xfId="0" applyNumberFormat="1" applyFont="1" applyFill="1" applyBorder="1" applyAlignment="1">
      <alignment horizontal="left" vertical="center" wrapText="1"/>
    </xf>
    <xf numFmtId="0" fontId="3" fillId="71" borderId="54" xfId="420" applyNumberFormat="1" applyFont="1" applyFill="1" applyBorder="1" applyAlignment="1">
      <alignment horizontal="center" vertical="center" wrapText="1"/>
    </xf>
    <xf numFmtId="4" fontId="3" fillId="71" borderId="54" xfId="0" applyNumberFormat="1" applyFont="1" applyFill="1" applyBorder="1" applyAlignment="1">
      <alignment horizontal="center" vertical="center" wrapText="1"/>
    </xf>
    <xf numFmtId="4" fontId="35" fillId="71" borderId="55" xfId="0" applyNumberFormat="1" applyFont="1" applyFill="1" applyBorder="1" applyAlignment="1">
      <alignment horizontal="center" vertical="center" wrapText="1"/>
    </xf>
    <xf numFmtId="4" fontId="35" fillId="71" borderId="56" xfId="0" applyNumberFormat="1" applyFont="1" applyFill="1" applyBorder="1" applyAlignment="1">
      <alignment horizontal="center" vertical="center" wrapText="1"/>
    </xf>
    <xf numFmtId="0" fontId="0" fillId="0" borderId="0" xfId="0" applyFont="1" applyAlignment="1">
      <alignment/>
    </xf>
    <xf numFmtId="0" fontId="0" fillId="0" borderId="0" xfId="0" applyFont="1" applyAlignment="1">
      <alignment vertical="center"/>
    </xf>
    <xf numFmtId="0" fontId="0" fillId="73" borderId="0" xfId="0" applyFont="1" applyFill="1" applyAlignment="1">
      <alignment/>
    </xf>
    <xf numFmtId="2" fontId="0" fillId="73" borderId="0" xfId="0" applyNumberFormat="1" applyFont="1" applyFill="1" applyAlignment="1">
      <alignment vertical="center"/>
    </xf>
    <xf numFmtId="2" fontId="0" fillId="0" borderId="0" xfId="0" applyNumberFormat="1" applyFont="1" applyAlignment="1">
      <alignment vertical="center"/>
    </xf>
    <xf numFmtId="0" fontId="35" fillId="71" borderId="55" xfId="0" applyNumberFormat="1" applyFont="1" applyFill="1" applyBorder="1" applyAlignment="1">
      <alignment horizontal="center" vertical="center" wrapText="1"/>
    </xf>
    <xf numFmtId="0" fontId="35" fillId="71" borderId="55" xfId="0" applyNumberFormat="1" applyFont="1" applyFill="1" applyBorder="1" applyAlignment="1">
      <alignment horizontal="left" vertical="center" wrapText="1"/>
    </xf>
    <xf numFmtId="0" fontId="3" fillId="71" borderId="55" xfId="420" applyNumberFormat="1" applyFont="1" applyFill="1" applyBorder="1" applyAlignment="1">
      <alignment horizontal="center" vertical="center" wrapText="1"/>
    </xf>
    <xf numFmtId="4" fontId="3" fillId="71" borderId="55" xfId="0" applyNumberFormat="1" applyFont="1" applyFill="1" applyBorder="1" applyAlignment="1">
      <alignment horizontal="center" vertical="center" wrapText="1"/>
    </xf>
    <xf numFmtId="4" fontId="0" fillId="0" borderId="0" xfId="0" applyNumberFormat="1" applyFont="1" applyAlignment="1">
      <alignment/>
    </xf>
    <xf numFmtId="4" fontId="35" fillId="71" borderId="57" xfId="0" applyNumberFormat="1" applyFont="1" applyFill="1" applyBorder="1" applyAlignment="1">
      <alignment horizontal="center" vertical="center" wrapText="1"/>
    </xf>
    <xf numFmtId="171" fontId="0" fillId="0" borderId="0" xfId="0" applyNumberFormat="1" applyAlignment="1">
      <alignment/>
    </xf>
    <xf numFmtId="4" fontId="35" fillId="0" borderId="44" xfId="0" applyNumberFormat="1" applyFont="1" applyBorder="1" applyAlignment="1">
      <alignment horizontal="center" vertical="center" wrapText="1"/>
    </xf>
    <xf numFmtId="0" fontId="3" fillId="0" borderId="0" xfId="0" applyFont="1" applyBorder="1" applyAlignment="1">
      <alignment vertical="center"/>
    </xf>
    <xf numFmtId="0" fontId="0" fillId="0" borderId="0" xfId="0" applyAlignment="1">
      <alignment vertical="center"/>
    </xf>
    <xf numFmtId="2" fontId="0" fillId="0" borderId="0" xfId="312" applyNumberFormat="1">
      <alignment/>
      <protection/>
    </xf>
    <xf numFmtId="0" fontId="0" fillId="0" borderId="0" xfId="312">
      <alignment/>
      <protection/>
    </xf>
    <xf numFmtId="2" fontId="4" fillId="0" borderId="24" xfId="312" applyNumberFormat="1" applyFont="1" applyBorder="1" applyAlignment="1">
      <alignment horizontal="center"/>
      <protection/>
    </xf>
    <xf numFmtId="2" fontId="0" fillId="0" borderId="24" xfId="312" applyNumberFormat="1" applyBorder="1" applyAlignment="1">
      <alignment horizontal="center"/>
      <protection/>
    </xf>
    <xf numFmtId="0" fontId="0" fillId="0" borderId="24" xfId="312" applyBorder="1" applyAlignment="1">
      <alignment horizontal="center"/>
      <protection/>
    </xf>
    <xf numFmtId="0" fontId="0" fillId="0" borderId="0" xfId="312" applyAlignment="1">
      <alignment horizontal="center" vertical="center"/>
      <protection/>
    </xf>
    <xf numFmtId="0" fontId="0" fillId="0" borderId="0" xfId="312" applyAlignment="1">
      <alignment/>
      <protection/>
    </xf>
    <xf numFmtId="0" fontId="0" fillId="2" borderId="0" xfId="312" applyFill="1">
      <alignment/>
      <protection/>
    </xf>
    <xf numFmtId="49" fontId="2" fillId="2" borderId="24" xfId="312" applyNumberFormat="1" applyFont="1" applyFill="1" applyBorder="1" applyAlignment="1">
      <alignment horizontal="center" vertical="top" wrapText="1"/>
      <protection/>
    </xf>
    <xf numFmtId="10" fontId="2" fillId="2" borderId="24" xfId="312" applyNumberFormat="1" applyFont="1" applyFill="1" applyBorder="1" applyAlignment="1">
      <alignment vertical="top" wrapText="1"/>
      <protection/>
    </xf>
    <xf numFmtId="10" fontId="2" fillId="2" borderId="24" xfId="418" applyNumberFormat="1" applyFont="1" applyFill="1" applyBorder="1" applyAlignment="1">
      <alignment vertical="top" wrapText="1"/>
    </xf>
    <xf numFmtId="172" fontId="2" fillId="2" borderId="24" xfId="312" applyNumberFormat="1" applyFont="1" applyFill="1" applyBorder="1" applyAlignment="1">
      <alignment vertical="top" wrapText="1"/>
      <protection/>
    </xf>
    <xf numFmtId="0" fontId="69" fillId="0" borderId="24" xfId="0" applyFont="1" applyFill="1" applyBorder="1" applyAlignment="1">
      <alignment horizontal="left" vertical="center"/>
    </xf>
    <xf numFmtId="173" fontId="2" fillId="2" borderId="24" xfId="301" applyNumberFormat="1" applyFont="1" applyFill="1" applyBorder="1" applyAlignment="1">
      <alignment vertical="top" wrapText="1"/>
    </xf>
    <xf numFmtId="173" fontId="2" fillId="2" borderId="24" xfId="312" applyNumberFormat="1" applyFont="1" applyFill="1" applyBorder="1" applyAlignment="1">
      <alignment vertical="top" wrapText="1"/>
      <protection/>
    </xf>
    <xf numFmtId="49" fontId="39" fillId="2" borderId="58" xfId="312" applyNumberFormat="1" applyFont="1" applyFill="1" applyBorder="1" applyAlignment="1">
      <alignment horizontal="center" vertical="top" wrapText="1"/>
      <protection/>
    </xf>
    <xf numFmtId="172" fontId="39" fillId="2" borderId="58" xfId="312" applyNumberFormat="1" applyFont="1" applyFill="1" applyBorder="1" applyAlignment="1">
      <alignment vertical="top" wrapText="1"/>
      <protection/>
    </xf>
    <xf numFmtId="0" fontId="0" fillId="2" borderId="0" xfId="312" applyFill="1" applyAlignment="1">
      <alignment wrapText="1"/>
      <protection/>
    </xf>
    <xf numFmtId="0" fontId="3" fillId="71" borderId="59" xfId="0" applyNumberFormat="1" applyFont="1" applyFill="1" applyBorder="1" applyAlignment="1">
      <alignment horizontal="center" vertical="center"/>
    </xf>
    <xf numFmtId="0" fontId="35" fillId="71" borderId="59" xfId="0" applyNumberFormat="1" applyFont="1" applyFill="1" applyBorder="1" applyAlignment="1">
      <alignment horizontal="left" vertical="center"/>
    </xf>
    <xf numFmtId="4" fontId="3" fillId="71" borderId="60" xfId="420" applyNumberFormat="1" applyFont="1" applyFill="1" applyBorder="1" applyAlignment="1">
      <alignment horizontal="center" vertical="center"/>
    </xf>
    <xf numFmtId="0" fontId="0" fillId="73" borderId="40" xfId="0" applyFont="1" applyFill="1" applyBorder="1" applyAlignment="1">
      <alignment/>
    </xf>
    <xf numFmtId="0" fontId="3" fillId="74" borderId="53" xfId="0" applyNumberFormat="1" applyFont="1" applyFill="1" applyBorder="1" applyAlignment="1">
      <alignment horizontal="center" vertical="center" wrapText="1"/>
    </xf>
    <xf numFmtId="0" fontId="70" fillId="74" borderId="54" xfId="0" applyFont="1" applyFill="1" applyBorder="1" applyAlignment="1">
      <alignment vertical="center" wrapText="1"/>
    </xf>
    <xf numFmtId="4" fontId="3" fillId="74" borderId="54" xfId="0" applyNumberFormat="1" applyFont="1" applyFill="1" applyBorder="1" applyAlignment="1">
      <alignment horizontal="center" vertical="center" wrapText="1"/>
    </xf>
    <xf numFmtId="4" fontId="3" fillId="74" borderId="56" xfId="0" applyNumberFormat="1" applyFont="1" applyFill="1" applyBorder="1" applyAlignment="1">
      <alignment horizontal="center" vertical="center" wrapText="1"/>
    </xf>
    <xf numFmtId="49" fontId="3" fillId="74" borderId="61" xfId="0" applyNumberFormat="1" applyFont="1" applyFill="1" applyBorder="1" applyAlignment="1">
      <alignment horizontal="center" vertical="center" wrapText="1"/>
    </xf>
    <xf numFmtId="4" fontId="3" fillId="74" borderId="62" xfId="420" applyNumberFormat="1" applyFont="1" applyFill="1" applyBorder="1" applyAlignment="1">
      <alignment horizontal="center" vertical="center" wrapText="1"/>
    </xf>
    <xf numFmtId="4" fontId="3" fillId="74" borderId="62" xfId="0" applyNumberFormat="1" applyFont="1" applyFill="1" applyBorder="1" applyAlignment="1">
      <alignment horizontal="center" vertical="center" wrapText="1"/>
    </xf>
    <xf numFmtId="0" fontId="35" fillId="71" borderId="63" xfId="0" applyNumberFormat="1" applyFont="1" applyFill="1" applyBorder="1" applyAlignment="1">
      <alignment horizontal="center" vertical="center" wrapText="1"/>
    </xf>
    <xf numFmtId="0" fontId="35" fillId="71" borderId="59" xfId="0" applyNumberFormat="1" applyFont="1" applyFill="1" applyBorder="1" applyAlignment="1">
      <alignment horizontal="center" vertical="center" wrapText="1"/>
    </xf>
    <xf numFmtId="0" fontId="35" fillId="71" borderId="59" xfId="0" applyNumberFormat="1" applyFont="1" applyFill="1" applyBorder="1" applyAlignment="1">
      <alignment horizontal="left" vertical="center" wrapText="1"/>
    </xf>
    <xf numFmtId="0" fontId="3" fillId="71" borderId="59" xfId="420" applyNumberFormat="1" applyFont="1" applyFill="1" applyBorder="1" applyAlignment="1">
      <alignment horizontal="center" vertical="center" wrapText="1"/>
    </xf>
    <xf numFmtId="4" fontId="3" fillId="71" borderId="59" xfId="0" applyNumberFormat="1" applyFont="1" applyFill="1" applyBorder="1" applyAlignment="1">
      <alignment horizontal="center" vertical="center" wrapText="1"/>
    </xf>
    <xf numFmtId="4" fontId="35" fillId="71" borderId="59" xfId="0" applyNumberFormat="1" applyFont="1" applyFill="1" applyBorder="1" applyAlignment="1">
      <alignment horizontal="center" vertical="center" wrapText="1"/>
    </xf>
    <xf numFmtId="4" fontId="35" fillId="71" borderId="64" xfId="0" applyNumberFormat="1" applyFont="1" applyFill="1" applyBorder="1" applyAlignment="1">
      <alignment horizontal="center" vertical="center" wrapText="1"/>
    </xf>
    <xf numFmtId="0" fontId="0" fillId="0" borderId="40" xfId="0" applyFont="1" applyBorder="1" applyAlignment="1">
      <alignment/>
    </xf>
    <xf numFmtId="2" fontId="0" fillId="0" borderId="40" xfId="0" applyNumberFormat="1" applyFont="1" applyBorder="1" applyAlignment="1">
      <alignment vertical="center"/>
    </xf>
    <xf numFmtId="4" fontId="35" fillId="71" borderId="60" xfId="42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66" fillId="0" borderId="24" xfId="0" applyFont="1" applyBorder="1" applyAlignment="1">
      <alignment/>
    </xf>
    <xf numFmtId="0" fontId="67" fillId="0" borderId="24" xfId="0" applyFont="1" applyBorder="1" applyAlignment="1">
      <alignment horizontal="center"/>
    </xf>
    <xf numFmtId="2" fontId="67" fillId="0" borderId="24" xfId="0" applyNumberFormat="1" applyFont="1" applyBorder="1" applyAlignment="1">
      <alignment horizontal="center"/>
    </xf>
    <xf numFmtId="0" fontId="66" fillId="0" borderId="42" xfId="0" applyFont="1" applyBorder="1" applyAlignment="1">
      <alignment/>
    </xf>
    <xf numFmtId="0" fontId="66" fillId="74" borderId="23" xfId="0" applyFont="1" applyFill="1" applyBorder="1" applyAlignment="1">
      <alignment horizontal="center"/>
    </xf>
    <xf numFmtId="0" fontId="67" fillId="0" borderId="44" xfId="0" applyFont="1" applyBorder="1" applyAlignment="1">
      <alignment horizontal="center"/>
    </xf>
    <xf numFmtId="0" fontId="67" fillId="0" borderId="24" xfId="0" applyFont="1" applyBorder="1" applyAlignment="1">
      <alignment/>
    </xf>
    <xf numFmtId="0" fontId="69" fillId="0" borderId="24" xfId="0" applyFont="1" applyBorder="1" applyAlignment="1">
      <alignment horizontal="center" vertical="center"/>
    </xf>
    <xf numFmtId="2" fontId="66" fillId="0" borderId="0" xfId="0" applyNumberFormat="1" applyFont="1" applyBorder="1" applyAlignment="1">
      <alignment horizontal="center"/>
    </xf>
    <xf numFmtId="0" fontId="0" fillId="74" borderId="0" xfId="0" applyFill="1" applyAlignment="1">
      <alignment/>
    </xf>
    <xf numFmtId="0" fontId="67" fillId="0" borderId="47" xfId="0" applyFont="1" applyBorder="1" applyAlignment="1">
      <alignment horizontal="center"/>
    </xf>
    <xf numFmtId="0" fontId="67" fillId="0" borderId="24" xfId="0" applyFont="1" applyFill="1" applyBorder="1" applyAlignment="1">
      <alignment horizontal="center"/>
    </xf>
    <xf numFmtId="0" fontId="4" fillId="0" borderId="24" xfId="0" applyFont="1" applyBorder="1" applyAlignment="1">
      <alignment horizontal="center"/>
    </xf>
    <xf numFmtId="0" fontId="0" fillId="0" borderId="24" xfId="0" applyBorder="1" applyAlignment="1">
      <alignment horizontal="center"/>
    </xf>
    <xf numFmtId="2" fontId="66" fillId="0" borderId="42" xfId="0" applyNumberFormat="1" applyFont="1" applyBorder="1" applyAlignment="1">
      <alignment horizontal="center"/>
    </xf>
    <xf numFmtId="2" fontId="67" fillId="0" borderId="44" xfId="0" applyNumberFormat="1" applyFont="1" applyBorder="1" applyAlignment="1">
      <alignment horizontal="center"/>
    </xf>
    <xf numFmtId="0" fontId="66" fillId="74" borderId="24" xfId="0" applyFont="1" applyFill="1" applyBorder="1" applyAlignment="1">
      <alignment horizontal="center"/>
    </xf>
    <xf numFmtId="0" fontId="66" fillId="74" borderId="42" xfId="0" applyFont="1" applyFill="1" applyBorder="1" applyAlignment="1">
      <alignment horizontal="center"/>
    </xf>
    <xf numFmtId="0" fontId="67" fillId="0" borderId="24" xfId="0" applyFont="1" applyBorder="1" applyAlignment="1">
      <alignment horizontal="center" wrapText="1"/>
    </xf>
    <xf numFmtId="0" fontId="67" fillId="74" borderId="24" xfId="0" applyFont="1" applyFill="1" applyBorder="1" applyAlignment="1">
      <alignment horizontal="center" wrapText="1"/>
    </xf>
    <xf numFmtId="0" fontId="66" fillId="0" borderId="35" xfId="0" applyFont="1" applyBorder="1" applyAlignment="1">
      <alignment wrapText="1"/>
    </xf>
    <xf numFmtId="0" fontId="66" fillId="74" borderId="35" xfId="0" applyFont="1" applyFill="1" applyBorder="1" applyAlignment="1">
      <alignment wrapText="1"/>
    </xf>
    <xf numFmtId="2" fontId="67" fillId="0" borderId="44" xfId="0" applyNumberFormat="1" applyFont="1" applyBorder="1" applyAlignment="1">
      <alignment/>
    </xf>
    <xf numFmtId="0" fontId="0" fillId="0" borderId="0" xfId="0" applyAlignment="1">
      <alignment horizontal="center"/>
    </xf>
    <xf numFmtId="0" fontId="67" fillId="0" borderId="24" xfId="0" applyFont="1" applyFill="1" applyBorder="1" applyAlignment="1">
      <alignment horizontal="center" vertical="center"/>
    </xf>
    <xf numFmtId="0" fontId="4" fillId="0" borderId="44" xfId="0" applyFont="1" applyBorder="1" applyAlignment="1">
      <alignment horizontal="center"/>
    </xf>
    <xf numFmtId="2" fontId="4" fillId="0" borderId="44" xfId="0" applyNumberFormat="1" applyFont="1" applyBorder="1" applyAlignment="1">
      <alignment horizontal="center" vertical="center"/>
    </xf>
    <xf numFmtId="0" fontId="71" fillId="0" borderId="23" xfId="0" applyFont="1" applyFill="1" applyBorder="1" applyAlignment="1">
      <alignment horizontal="center" vertical="center"/>
    </xf>
    <xf numFmtId="0" fontId="0" fillId="0" borderId="65" xfId="0" applyBorder="1" applyAlignment="1">
      <alignment/>
    </xf>
    <xf numFmtId="0" fontId="0" fillId="0" borderId="46" xfId="0" applyFont="1" applyFill="1" applyBorder="1" applyAlignment="1">
      <alignment horizontal="left" vertical="center" wrapText="1"/>
    </xf>
    <xf numFmtId="4" fontId="3" fillId="72" borderId="44" xfId="420" applyNumberFormat="1" applyFont="1" applyFill="1" applyBorder="1" applyAlignment="1">
      <alignment horizontal="center" vertical="center" wrapText="1"/>
    </xf>
    <xf numFmtId="0" fontId="66" fillId="0" borderId="0" xfId="0" applyFont="1" applyBorder="1" applyAlignment="1">
      <alignment vertical="center" wrapText="1"/>
    </xf>
    <xf numFmtId="0" fontId="67" fillId="0" borderId="41" xfId="0" applyFont="1" applyBorder="1" applyAlignment="1">
      <alignment horizontal="center"/>
    </xf>
    <xf numFmtId="0" fontId="66" fillId="0" borderId="24" xfId="0" applyFont="1" applyFill="1" applyBorder="1" applyAlignment="1">
      <alignment horizontal="center" vertical="center" wrapText="1"/>
    </xf>
    <xf numFmtId="9" fontId="66" fillId="0" borderId="0" xfId="0" applyNumberFormat="1" applyFont="1" applyBorder="1" applyAlignment="1">
      <alignment horizontal="center" vertical="center" wrapText="1"/>
    </xf>
    <xf numFmtId="9" fontId="66" fillId="0" borderId="24" xfId="0" applyNumberFormat="1" applyFont="1" applyBorder="1" applyAlignment="1">
      <alignment horizontal="center" vertical="center" wrapText="1"/>
    </xf>
    <xf numFmtId="0" fontId="67" fillId="0" borderId="44" xfId="0" applyFont="1" applyBorder="1" applyAlignment="1">
      <alignment horizontal="center" vertical="center" wrapText="1"/>
    </xf>
    <xf numFmtId="0" fontId="0" fillId="72" borderId="44" xfId="0" applyFont="1" applyFill="1" applyBorder="1" applyAlignment="1">
      <alignment horizontal="center" vertical="center"/>
    </xf>
    <xf numFmtId="0" fontId="67" fillId="0" borderId="66" xfId="0" applyFont="1" applyBorder="1" applyAlignment="1">
      <alignment horizontal="center" vertical="center"/>
    </xf>
    <xf numFmtId="0" fontId="0" fillId="0" borderId="24" xfId="0" applyFont="1" applyBorder="1" applyAlignment="1">
      <alignment horizontal="center"/>
    </xf>
    <xf numFmtId="2" fontId="66" fillId="0" borderId="42" xfId="0" applyNumberFormat="1" applyFont="1" applyBorder="1" applyAlignment="1">
      <alignment horizontal="center" vertical="center"/>
    </xf>
    <xf numFmtId="2" fontId="0" fillId="0" borderId="42" xfId="0" applyNumberFormat="1" applyFont="1" applyBorder="1" applyAlignment="1">
      <alignment horizontal="center" vertical="center"/>
    </xf>
    <xf numFmtId="0" fontId="67" fillId="75" borderId="44" xfId="0" applyFont="1" applyFill="1" applyBorder="1" applyAlignment="1">
      <alignment horizontal="center" vertical="center"/>
    </xf>
    <xf numFmtId="0" fontId="42" fillId="76" borderId="0" xfId="0" applyFont="1" applyFill="1" applyBorder="1" applyAlignment="1">
      <alignment horizontal="center" vertical="top"/>
    </xf>
    <xf numFmtId="0" fontId="42" fillId="76" borderId="30" xfId="0" applyFont="1" applyFill="1" applyBorder="1" applyAlignment="1">
      <alignment horizontal="center" vertical="top"/>
    </xf>
    <xf numFmtId="0" fontId="42" fillId="76" borderId="31" xfId="0" applyFont="1" applyFill="1" applyBorder="1" applyAlignment="1">
      <alignment horizontal="center" vertical="top"/>
    </xf>
    <xf numFmtId="0" fontId="41" fillId="76" borderId="0" xfId="0" applyFont="1" applyFill="1" applyBorder="1" applyAlignment="1">
      <alignment horizontal="center" vertical="top"/>
    </xf>
    <xf numFmtId="0" fontId="67" fillId="0" borderId="28" xfId="0" applyFont="1" applyBorder="1" applyAlignment="1">
      <alignment horizontal="center" vertical="center"/>
    </xf>
    <xf numFmtId="0" fontId="0" fillId="0" borderId="0" xfId="0" applyFont="1" applyBorder="1" applyAlignment="1">
      <alignment/>
    </xf>
    <xf numFmtId="0" fontId="0" fillId="73" borderId="0" xfId="0" applyFont="1" applyFill="1" applyBorder="1" applyAlignment="1">
      <alignment/>
    </xf>
    <xf numFmtId="0" fontId="0" fillId="73" borderId="0" xfId="0" applyFont="1" applyFill="1" applyBorder="1" applyAlignment="1">
      <alignment/>
    </xf>
    <xf numFmtId="2" fontId="67" fillId="0" borderId="35" xfId="0" applyNumberFormat="1" applyFont="1" applyBorder="1" applyAlignment="1">
      <alignment horizontal="center"/>
    </xf>
    <xf numFmtId="0" fontId="66" fillId="74" borderId="0" xfId="0" applyFont="1" applyFill="1" applyBorder="1" applyAlignment="1">
      <alignment/>
    </xf>
    <xf numFmtId="0" fontId="72" fillId="0" borderId="24" xfId="0" applyFont="1" applyBorder="1" applyAlignment="1">
      <alignment horizontal="center"/>
    </xf>
    <xf numFmtId="2" fontId="66" fillId="74" borderId="24" xfId="0" applyNumberFormat="1" applyFont="1" applyFill="1" applyBorder="1" applyAlignment="1">
      <alignment horizontal="center"/>
    </xf>
    <xf numFmtId="174" fontId="66" fillId="0" borderId="24" xfId="0" applyNumberFormat="1" applyFont="1" applyBorder="1" applyAlignment="1">
      <alignment horizontal="center" vertical="center"/>
    </xf>
    <xf numFmtId="174" fontId="66" fillId="0" borderId="0" xfId="0" applyNumberFormat="1" applyFont="1" applyBorder="1" applyAlignment="1">
      <alignment/>
    </xf>
    <xf numFmtId="4" fontId="3" fillId="74" borderId="55" xfId="0" applyNumberFormat="1" applyFont="1" applyFill="1" applyBorder="1" applyAlignment="1">
      <alignment horizontal="center" vertical="center" wrapText="1"/>
    </xf>
    <xf numFmtId="4" fontId="3" fillId="74" borderId="67" xfId="0" applyNumberFormat="1" applyFont="1" applyFill="1" applyBorder="1" applyAlignment="1">
      <alignment horizontal="center" vertical="center" wrapText="1"/>
    </xf>
    <xf numFmtId="0" fontId="3" fillId="74" borderId="68" xfId="0" applyNumberFormat="1" applyFont="1" applyFill="1" applyBorder="1" applyAlignment="1">
      <alignment horizontal="center" vertical="center" wrapText="1"/>
    </xf>
    <xf numFmtId="0" fontId="3" fillId="74" borderId="55" xfId="0" applyNumberFormat="1" applyFont="1" applyFill="1" applyBorder="1" applyAlignment="1">
      <alignment horizontal="left" vertical="center" wrapText="1"/>
    </xf>
    <xf numFmtId="0" fontId="3" fillId="74" borderId="67" xfId="420" applyNumberFormat="1" applyFont="1" applyFill="1" applyBorder="1" applyAlignment="1">
      <alignment horizontal="center" vertical="center" wrapText="1"/>
    </xf>
    <xf numFmtId="0" fontId="67" fillId="0" borderId="0" xfId="0" applyFont="1" applyBorder="1" applyAlignment="1">
      <alignment horizontal="center" vertical="center"/>
    </xf>
    <xf numFmtId="2" fontId="4" fillId="0" borderId="0" xfId="0" applyNumberFormat="1" applyFont="1" applyFill="1" applyBorder="1" applyAlignment="1">
      <alignment horizontal="center" vertical="center"/>
    </xf>
    <xf numFmtId="0" fontId="66" fillId="0" borderId="42" xfId="0" applyFont="1" applyBorder="1" applyAlignment="1">
      <alignment horizontal="center" vertical="center"/>
    </xf>
    <xf numFmtId="2" fontId="0" fillId="0" borderId="42" xfId="0" applyNumberFormat="1" applyFont="1" applyFill="1" applyBorder="1" applyAlignment="1">
      <alignment horizontal="center" vertical="center"/>
    </xf>
    <xf numFmtId="0" fontId="0" fillId="76" borderId="0" xfId="0" applyFont="1" applyFill="1" applyAlignment="1">
      <alignment/>
    </xf>
    <xf numFmtId="2" fontId="66" fillId="74" borderId="24" xfId="0" applyNumberFormat="1" applyFont="1" applyFill="1" applyBorder="1" applyAlignment="1">
      <alignment horizontal="center" vertical="center"/>
    </xf>
    <xf numFmtId="2" fontId="0" fillId="0" borderId="0" xfId="0" applyNumberFormat="1" applyBorder="1" applyAlignment="1">
      <alignment/>
    </xf>
    <xf numFmtId="0" fontId="67" fillId="0" borderId="0" xfId="0" applyFont="1" applyBorder="1" applyAlignment="1">
      <alignment horizontal="center" vertical="center" wrapText="1"/>
    </xf>
    <xf numFmtId="2" fontId="67" fillId="0" borderId="0" xfId="0" applyNumberFormat="1" applyFont="1" applyBorder="1" applyAlignment="1">
      <alignment/>
    </xf>
    <xf numFmtId="2" fontId="66" fillId="0" borderId="0" xfId="0" applyNumberFormat="1" applyFont="1" applyBorder="1" applyAlignment="1">
      <alignment/>
    </xf>
    <xf numFmtId="9" fontId="67" fillId="0" borderId="24" xfId="0" applyNumberFormat="1" applyFont="1" applyBorder="1" applyAlignment="1">
      <alignment horizontal="center" vertical="center" wrapText="1"/>
    </xf>
    <xf numFmtId="0" fontId="0" fillId="0" borderId="66" xfId="0" applyBorder="1" applyAlignment="1">
      <alignment horizontal="center" vertical="center"/>
    </xf>
    <xf numFmtId="0" fontId="0" fillId="0" borderId="66" xfId="0" applyBorder="1" applyAlignment="1">
      <alignment horizontal="center"/>
    </xf>
    <xf numFmtId="174" fontId="66" fillId="0" borderId="35" xfId="0" applyNumberFormat="1" applyFont="1" applyBorder="1" applyAlignment="1">
      <alignment/>
    </xf>
    <xf numFmtId="0" fontId="66" fillId="74" borderId="35" xfId="0" applyFont="1" applyFill="1" applyBorder="1" applyAlignment="1">
      <alignment/>
    </xf>
    <xf numFmtId="2" fontId="67" fillId="0" borderId="31" xfId="0" applyNumberFormat="1" applyFont="1" applyBorder="1" applyAlignment="1">
      <alignment horizontal="center"/>
    </xf>
    <xf numFmtId="2" fontId="67" fillId="0" borderId="34" xfId="0" applyNumberFormat="1" applyFont="1" applyBorder="1" applyAlignment="1">
      <alignment horizontal="center"/>
    </xf>
    <xf numFmtId="2" fontId="0" fillId="0" borderId="0" xfId="0" applyNumberFormat="1" applyFont="1" applyFill="1" applyBorder="1" applyAlignment="1">
      <alignment horizontal="center" vertical="center"/>
    </xf>
    <xf numFmtId="2" fontId="4" fillId="0" borderId="44" xfId="0" applyNumberFormat="1" applyFont="1" applyFill="1" applyBorder="1" applyAlignment="1">
      <alignment horizontal="center" vertical="center"/>
    </xf>
    <xf numFmtId="0" fontId="67" fillId="0" borderId="44" xfId="0" applyFont="1" applyBorder="1" applyAlignment="1">
      <alignment horizontal="center" vertical="center"/>
    </xf>
    <xf numFmtId="2" fontId="4" fillId="0" borderId="52" xfId="0" applyNumberFormat="1" applyFont="1" applyFill="1" applyBorder="1" applyAlignment="1">
      <alignment horizontal="center" vertical="center"/>
    </xf>
    <xf numFmtId="0" fontId="67" fillId="0" borderId="43" xfId="0" applyFont="1" applyBorder="1" applyAlignment="1">
      <alignment horizontal="center" vertical="center"/>
    </xf>
    <xf numFmtId="0" fontId="67" fillId="0" borderId="41" xfId="0" applyFont="1" applyBorder="1" applyAlignment="1">
      <alignment horizontal="center" vertical="center"/>
    </xf>
    <xf numFmtId="0" fontId="0" fillId="0" borderId="69" xfId="0" applyBorder="1" applyAlignment="1">
      <alignment/>
    </xf>
    <xf numFmtId="2" fontId="0" fillId="0" borderId="24" xfId="0" applyNumberFormat="1" applyBorder="1" applyAlignment="1">
      <alignment horizontal="center"/>
    </xf>
    <xf numFmtId="2" fontId="67" fillId="0" borderId="45" xfId="0" applyNumberFormat="1" applyFont="1" applyBorder="1" applyAlignment="1">
      <alignment horizontal="center"/>
    </xf>
    <xf numFmtId="0" fontId="0" fillId="0" borderId="44" xfId="0" applyBorder="1" applyAlignment="1">
      <alignment/>
    </xf>
    <xf numFmtId="49" fontId="3" fillId="74" borderId="68" xfId="0" applyNumberFormat="1" applyFont="1" applyFill="1" applyBorder="1" applyAlignment="1">
      <alignment horizontal="center" vertical="center" wrapText="1"/>
    </xf>
    <xf numFmtId="0" fontId="70" fillId="74" borderId="55" xfId="0" applyFont="1" applyFill="1" applyBorder="1" applyAlignment="1">
      <alignment vertical="center" wrapText="1"/>
    </xf>
    <xf numFmtId="4" fontId="3" fillId="74" borderId="67" xfId="420" applyNumberFormat="1" applyFont="1" applyFill="1" applyBorder="1" applyAlignment="1">
      <alignment horizontal="center" vertical="center" wrapText="1"/>
    </xf>
    <xf numFmtId="0" fontId="67" fillId="0" borderId="0" xfId="0" applyFont="1" applyBorder="1" applyAlignment="1">
      <alignment horizontal="center" wrapText="1"/>
    </xf>
    <xf numFmtId="0" fontId="67" fillId="0" borderId="41" xfId="0" applyFont="1" applyBorder="1" applyAlignment="1">
      <alignment horizontal="center" wrapText="1"/>
    </xf>
    <xf numFmtId="0" fontId="0" fillId="0" borderId="0" xfId="0" applyBorder="1" applyAlignment="1">
      <alignment horizontal="center" vertical="center"/>
    </xf>
    <xf numFmtId="0" fontId="3" fillId="74" borderId="54" xfId="0" applyNumberFormat="1" applyFont="1" applyFill="1" applyBorder="1" applyAlignment="1">
      <alignment horizontal="left" vertical="center" wrapText="1"/>
    </xf>
    <xf numFmtId="0" fontId="35" fillId="74" borderId="54" xfId="0" applyNumberFormat="1" applyFont="1" applyFill="1" applyBorder="1" applyAlignment="1">
      <alignment horizontal="center" vertical="center" wrapText="1"/>
    </xf>
    <xf numFmtId="0" fontId="35" fillId="74" borderId="53" xfId="0" applyNumberFormat="1" applyFont="1" applyFill="1" applyBorder="1" applyAlignment="1">
      <alignment horizontal="center" vertical="center" wrapText="1"/>
    </xf>
    <xf numFmtId="0" fontId="3" fillId="74" borderId="54" xfId="420" applyNumberFormat="1" applyFont="1" applyFill="1" applyBorder="1" applyAlignment="1">
      <alignment horizontal="center" vertical="center" wrapText="1"/>
    </xf>
    <xf numFmtId="4" fontId="35" fillId="74" borderId="56" xfId="0" applyNumberFormat="1" applyFont="1" applyFill="1" applyBorder="1" applyAlignment="1">
      <alignment horizontal="center" vertical="center" wrapText="1"/>
    </xf>
    <xf numFmtId="175" fontId="3" fillId="74" borderId="55" xfId="0" applyNumberFormat="1" applyFont="1" applyFill="1" applyBorder="1" applyAlignment="1">
      <alignment horizontal="center" vertical="center" wrapText="1"/>
    </xf>
    <xf numFmtId="175" fontId="3" fillId="74" borderId="0" xfId="0" applyNumberFormat="1" applyFont="1" applyFill="1" applyBorder="1" applyAlignment="1">
      <alignment horizontal="center" vertical="center" wrapText="1"/>
    </xf>
    <xf numFmtId="175" fontId="3" fillId="74" borderId="54" xfId="0" applyNumberFormat="1" applyFont="1" applyFill="1" applyBorder="1" applyAlignment="1">
      <alignment horizontal="center" vertical="center" wrapText="1"/>
    </xf>
    <xf numFmtId="175" fontId="3" fillId="74" borderId="68" xfId="0" applyNumberFormat="1" applyFont="1" applyFill="1" applyBorder="1" applyAlignment="1">
      <alignment horizontal="center" vertical="center" wrapText="1"/>
    </xf>
    <xf numFmtId="0" fontId="3" fillId="74" borderId="55" xfId="0" applyNumberFormat="1" applyFont="1" applyFill="1" applyBorder="1" applyAlignment="1">
      <alignment horizontal="center" vertical="center" wrapText="1"/>
    </xf>
    <xf numFmtId="4" fontId="3" fillId="74" borderId="61" xfId="420" applyNumberFormat="1" applyFont="1" applyFill="1" applyBorder="1" applyAlignment="1">
      <alignment horizontal="center" vertical="center" wrapText="1"/>
    </xf>
    <xf numFmtId="0" fontId="3" fillId="74" borderId="54" xfId="0" applyNumberFormat="1" applyFont="1" applyFill="1" applyBorder="1" applyAlignment="1">
      <alignment horizontal="center" vertical="center" wrapText="1"/>
    </xf>
    <xf numFmtId="4" fontId="3" fillId="74" borderId="70" xfId="420" applyNumberFormat="1" applyFont="1" applyFill="1" applyBorder="1" applyAlignment="1">
      <alignment horizontal="center" vertical="center" wrapText="1"/>
    </xf>
    <xf numFmtId="0" fontId="3" fillId="74" borderId="71" xfId="0" applyNumberFormat="1" applyFont="1" applyFill="1" applyBorder="1" applyAlignment="1">
      <alignment horizontal="center" vertical="center" wrapText="1"/>
    </xf>
    <xf numFmtId="0" fontId="3" fillId="74" borderId="71" xfId="0" applyNumberFormat="1" applyFont="1" applyFill="1" applyBorder="1" applyAlignment="1">
      <alignment horizontal="left" vertical="center" wrapText="1"/>
    </xf>
    <xf numFmtId="4" fontId="3" fillId="74" borderId="72" xfId="420" applyNumberFormat="1" applyFont="1" applyFill="1" applyBorder="1" applyAlignment="1">
      <alignment horizontal="center" vertical="center" wrapText="1"/>
    </xf>
    <xf numFmtId="0" fontId="3" fillId="74" borderId="54" xfId="0" applyNumberFormat="1" applyFont="1" applyFill="1" applyBorder="1" applyAlignment="1">
      <alignment horizontal="right" vertical="center" wrapText="1"/>
    </xf>
    <xf numFmtId="0" fontId="3" fillId="74" borderId="0" xfId="0" applyNumberFormat="1" applyFont="1" applyFill="1" applyBorder="1" applyAlignment="1">
      <alignment horizontal="center" vertical="center" wrapText="1"/>
    </xf>
    <xf numFmtId="4" fontId="3" fillId="74" borderId="0" xfId="420" applyNumberFormat="1" applyFont="1" applyFill="1" applyBorder="1" applyAlignment="1">
      <alignment horizontal="center" vertical="center" wrapText="1"/>
    </xf>
    <xf numFmtId="4" fontId="3" fillId="74" borderId="0" xfId="0" applyNumberFormat="1" applyFont="1" applyFill="1" applyBorder="1" applyAlignment="1">
      <alignment horizontal="center" vertical="center" wrapText="1"/>
    </xf>
    <xf numFmtId="4" fontId="3" fillId="74" borderId="73" xfId="0" applyNumberFormat="1" applyFont="1" applyFill="1" applyBorder="1" applyAlignment="1">
      <alignment horizontal="center" vertical="center" wrapText="1"/>
    </xf>
    <xf numFmtId="4" fontId="3" fillId="74" borderId="74" xfId="0" applyNumberFormat="1" applyFont="1" applyFill="1" applyBorder="1" applyAlignment="1">
      <alignment horizontal="center" vertical="center" wrapText="1"/>
    </xf>
    <xf numFmtId="4" fontId="35" fillId="74" borderId="44" xfId="0" applyNumberFormat="1" applyFont="1" applyFill="1" applyBorder="1" applyAlignment="1">
      <alignment horizontal="center" vertical="center" wrapText="1"/>
    </xf>
    <xf numFmtId="0" fontId="3" fillId="74" borderId="0" xfId="0" applyNumberFormat="1" applyFont="1" applyFill="1" applyBorder="1" applyAlignment="1">
      <alignment horizontal="right" vertical="center" wrapText="1"/>
    </xf>
    <xf numFmtId="4" fontId="35" fillId="74" borderId="0" xfId="0" applyNumberFormat="1" applyFont="1" applyFill="1" applyBorder="1" applyAlignment="1">
      <alignment horizontal="center" vertical="center" wrapText="1"/>
    </xf>
    <xf numFmtId="0" fontId="67" fillId="0" borderId="41" xfId="0" applyFont="1" applyBorder="1" applyAlignment="1">
      <alignment horizontal="center" vertical="center" wrapText="1"/>
    </xf>
    <xf numFmtId="4" fontId="35" fillId="74" borderId="43" xfId="0" applyNumberFormat="1" applyFont="1" applyFill="1" applyBorder="1" applyAlignment="1">
      <alignment horizontal="center" vertical="center" wrapText="1"/>
    </xf>
    <xf numFmtId="0" fontId="3" fillId="74" borderId="54" xfId="0" applyFont="1" applyFill="1" applyBorder="1" applyAlignment="1">
      <alignment vertical="center" wrapText="1"/>
    </xf>
    <xf numFmtId="0" fontId="0" fillId="74" borderId="0" xfId="0" applyFont="1" applyFill="1" applyAlignment="1">
      <alignment/>
    </xf>
    <xf numFmtId="2" fontId="0" fillId="74" borderId="0" xfId="0" applyNumberFormat="1" applyFont="1" applyFill="1" applyAlignment="1">
      <alignment vertical="center"/>
    </xf>
    <xf numFmtId="0" fontId="66" fillId="0" borderId="24" xfId="0" applyFont="1" applyFill="1" applyBorder="1" applyAlignment="1">
      <alignment horizontal="center"/>
    </xf>
    <xf numFmtId="2" fontId="66" fillId="0" borderId="42" xfId="0" applyNumberFormat="1" applyFont="1" applyFill="1" applyBorder="1" applyAlignment="1">
      <alignment horizontal="center" vertical="center"/>
    </xf>
    <xf numFmtId="0" fontId="66" fillId="0" borderId="31" xfId="0" applyFont="1" applyBorder="1" applyAlignment="1">
      <alignment horizontal="center" vertical="center"/>
    </xf>
    <xf numFmtId="9" fontId="66" fillId="0" borderId="42" xfId="0" applyNumberFormat="1" applyFont="1" applyBorder="1" applyAlignment="1">
      <alignment horizontal="center" vertical="center" wrapText="1"/>
    </xf>
    <xf numFmtId="9" fontId="67" fillId="0" borderId="44" xfId="0" applyNumberFormat="1" applyFont="1" applyBorder="1" applyAlignment="1">
      <alignment horizontal="center" vertical="center" wrapText="1"/>
    </xf>
    <xf numFmtId="2" fontId="0" fillId="72" borderId="44" xfId="0" applyNumberFormat="1" applyFill="1" applyBorder="1" applyAlignment="1">
      <alignment horizontal="center" vertical="center"/>
    </xf>
    <xf numFmtId="0" fontId="0" fillId="24" borderId="0" xfId="0" applyFont="1" applyFill="1" applyAlignment="1">
      <alignment/>
    </xf>
    <xf numFmtId="2" fontId="0" fillId="24" borderId="0" xfId="0" applyNumberFormat="1" applyFont="1" applyFill="1" applyAlignment="1">
      <alignment vertical="center"/>
    </xf>
    <xf numFmtId="0" fontId="66" fillId="74" borderId="24" xfId="0" applyFont="1" applyFill="1" applyBorder="1" applyAlignment="1">
      <alignment horizontal="center" vertical="center" wrapText="1"/>
    </xf>
    <xf numFmtId="0" fontId="67" fillId="74" borderId="24" xfId="0" applyFont="1" applyFill="1" applyBorder="1" applyAlignment="1">
      <alignment horizontal="center" vertical="center"/>
    </xf>
    <xf numFmtId="4" fontId="3" fillId="74" borderId="71" xfId="0" applyNumberFormat="1" applyFont="1" applyFill="1" applyBorder="1" applyAlignment="1">
      <alignment horizontal="center" vertical="center" wrapText="1"/>
    </xf>
    <xf numFmtId="4" fontId="3" fillId="74" borderId="75" xfId="0" applyNumberFormat="1" applyFont="1" applyFill="1" applyBorder="1" applyAlignment="1">
      <alignment horizontal="center" vertical="center" wrapText="1"/>
    </xf>
    <xf numFmtId="0" fontId="4" fillId="0" borderId="24" xfId="0" applyFont="1" applyBorder="1" applyAlignment="1">
      <alignment/>
    </xf>
    <xf numFmtId="49" fontId="3" fillId="74" borderId="70" xfId="0" applyNumberFormat="1" applyFont="1" applyFill="1" applyBorder="1" applyAlignment="1">
      <alignment horizontal="center" vertical="center" wrapText="1"/>
    </xf>
    <xf numFmtId="0" fontId="70" fillId="74" borderId="71" xfId="0" applyFont="1" applyFill="1" applyBorder="1" applyAlignment="1">
      <alignment vertical="center" wrapText="1"/>
    </xf>
    <xf numFmtId="4" fontId="3" fillId="74" borderId="75" xfId="420" applyNumberFormat="1" applyFont="1" applyFill="1" applyBorder="1" applyAlignment="1">
      <alignment horizontal="center" vertical="center" wrapText="1"/>
    </xf>
    <xf numFmtId="0" fontId="66" fillId="74" borderId="23" xfId="0" applyFont="1" applyFill="1" applyBorder="1" applyAlignment="1">
      <alignment horizontal="center" vertical="center"/>
    </xf>
    <xf numFmtId="2" fontId="66" fillId="74" borderId="76" xfId="0" applyNumberFormat="1" applyFont="1" applyFill="1" applyBorder="1" applyAlignment="1">
      <alignment horizontal="center" vertical="center"/>
    </xf>
    <xf numFmtId="2" fontId="67" fillId="74" borderId="35" xfId="0" applyNumberFormat="1" applyFont="1" applyFill="1" applyBorder="1" applyAlignment="1">
      <alignment horizontal="center"/>
    </xf>
    <xf numFmtId="0" fontId="67" fillId="0" borderId="77" xfId="0" applyFont="1" applyBorder="1" applyAlignment="1">
      <alignment horizontal="center" vertical="center"/>
    </xf>
    <xf numFmtId="2" fontId="4" fillId="0" borderId="77" xfId="0" applyNumberFormat="1" applyFont="1" applyFill="1" applyBorder="1" applyAlignment="1">
      <alignment horizontal="center" vertical="center"/>
    </xf>
    <xf numFmtId="2" fontId="4" fillId="0" borderId="41" xfId="0" applyNumberFormat="1" applyFont="1" applyFill="1" applyBorder="1" applyAlignment="1">
      <alignment horizontal="center" vertical="center"/>
    </xf>
    <xf numFmtId="0" fontId="67" fillId="0" borderId="33" xfId="0" applyFont="1" applyBorder="1" applyAlignment="1">
      <alignment horizontal="center" vertical="center"/>
    </xf>
    <xf numFmtId="2" fontId="4" fillId="0" borderId="33" xfId="0" applyNumberFormat="1" applyFont="1" applyFill="1" applyBorder="1" applyAlignment="1">
      <alignment horizontal="center" vertical="center"/>
    </xf>
    <xf numFmtId="4" fontId="3" fillId="74" borderId="54" xfId="420" applyNumberFormat="1" applyFont="1" applyFill="1" applyBorder="1" applyAlignment="1">
      <alignment horizontal="center" vertical="center" wrapText="1"/>
    </xf>
    <xf numFmtId="174" fontId="66" fillId="0" borderId="24" xfId="0" applyNumberFormat="1" applyFont="1" applyBorder="1" applyAlignment="1">
      <alignment horizontal="center"/>
    </xf>
    <xf numFmtId="174" fontId="67" fillId="0" borderId="43" xfId="0" applyNumberFormat="1" applyFont="1" applyBorder="1" applyAlignment="1">
      <alignment horizontal="center"/>
    </xf>
    <xf numFmtId="0" fontId="67" fillId="0" borderId="43" xfId="0" applyFont="1" applyBorder="1" applyAlignment="1">
      <alignment horizontal="center" vertical="center" wrapText="1"/>
    </xf>
    <xf numFmtId="0" fontId="67" fillId="0" borderId="30" xfId="0" applyFont="1" applyBorder="1" applyAlignment="1">
      <alignment horizontal="center" vertical="center" wrapText="1"/>
    </xf>
    <xf numFmtId="2" fontId="4" fillId="0" borderId="30" xfId="0" applyNumberFormat="1" applyFont="1" applyFill="1" applyBorder="1" applyAlignment="1">
      <alignment horizontal="center" vertical="center"/>
    </xf>
    <xf numFmtId="2" fontId="66" fillId="0" borderId="78" xfId="0" applyNumberFormat="1" applyFont="1" applyBorder="1" applyAlignment="1">
      <alignment vertical="center"/>
    </xf>
    <xf numFmtId="0" fontId="67" fillId="0" borderId="50" xfId="0" applyFont="1" applyBorder="1" applyAlignment="1">
      <alignment horizontal="center"/>
    </xf>
    <xf numFmtId="0" fontId="4" fillId="75" borderId="44" xfId="0" applyFont="1" applyFill="1" applyBorder="1" applyAlignment="1">
      <alignment horizontal="center"/>
    </xf>
    <xf numFmtId="2" fontId="4" fillId="0" borderId="52" xfId="0" applyNumberFormat="1" applyFont="1" applyBorder="1" applyAlignment="1">
      <alignment horizontal="center" vertical="center"/>
    </xf>
    <xf numFmtId="174" fontId="66" fillId="0" borderId="0" xfId="0" applyNumberFormat="1" applyFont="1" applyBorder="1" applyAlignment="1">
      <alignment horizontal="center" vertical="center"/>
    </xf>
    <xf numFmtId="1" fontId="66" fillId="0" borderId="0" xfId="0" applyNumberFormat="1" applyFont="1" applyBorder="1" applyAlignment="1">
      <alignment horizontal="center" vertical="center"/>
    </xf>
    <xf numFmtId="174" fontId="66" fillId="0" borderId="35" xfId="0" applyNumberFormat="1" applyFont="1" applyBorder="1" applyAlignment="1">
      <alignment horizontal="center" vertical="center"/>
    </xf>
    <xf numFmtId="174" fontId="67" fillId="0" borderId="44" xfId="0" applyNumberFormat="1" applyFont="1" applyBorder="1" applyAlignment="1">
      <alignment horizontal="center" vertical="center"/>
    </xf>
    <xf numFmtId="0" fontId="67" fillId="0" borderId="77" xfId="0" applyFont="1" applyBorder="1" applyAlignment="1">
      <alignment horizontal="center"/>
    </xf>
    <xf numFmtId="2" fontId="67" fillId="0" borderId="45" xfId="0" applyNumberFormat="1" applyFont="1" applyBorder="1" applyAlignment="1">
      <alignment horizontal="center" vertical="center"/>
    </xf>
    <xf numFmtId="2" fontId="66" fillId="0" borderId="35" xfId="0" applyNumberFormat="1" applyFont="1" applyBorder="1" applyAlignment="1">
      <alignment horizontal="center" vertical="center"/>
    </xf>
    <xf numFmtId="2" fontId="66" fillId="0" borderId="79" xfId="0" applyNumberFormat="1" applyFont="1" applyBorder="1" applyAlignment="1">
      <alignment horizontal="center" vertical="center"/>
    </xf>
    <xf numFmtId="2" fontId="66" fillId="0" borderId="80" xfId="0" applyNumberFormat="1" applyFont="1" applyBorder="1" applyAlignment="1">
      <alignment horizontal="center" vertical="center"/>
    </xf>
    <xf numFmtId="2" fontId="67" fillId="0" borderId="77" xfId="0" applyNumberFormat="1" applyFont="1" applyBorder="1" applyAlignment="1">
      <alignment horizontal="center"/>
    </xf>
    <xf numFmtId="4" fontId="3" fillId="74" borderId="57" xfId="0" applyNumberFormat="1" applyFont="1" applyFill="1" applyBorder="1" applyAlignment="1">
      <alignment horizontal="center" vertical="center" wrapText="1"/>
    </xf>
    <xf numFmtId="174" fontId="67" fillId="0" borderId="29" xfId="0" applyNumberFormat="1" applyFont="1" applyBorder="1" applyAlignment="1">
      <alignment horizontal="center"/>
    </xf>
    <xf numFmtId="0" fontId="67" fillId="0" borderId="29" xfId="0" applyFont="1" applyBorder="1" applyAlignment="1">
      <alignment horizontal="center"/>
    </xf>
    <xf numFmtId="2" fontId="0" fillId="74" borderId="24" xfId="0" applyNumberFormat="1" applyFont="1" applyFill="1" applyBorder="1" applyAlignment="1">
      <alignment horizontal="center"/>
    </xf>
    <xf numFmtId="2" fontId="0" fillId="74" borderId="24" xfId="0" applyNumberFormat="1" applyFont="1" applyFill="1" applyBorder="1" applyAlignment="1">
      <alignment horizontal="center" vertical="center"/>
    </xf>
    <xf numFmtId="2" fontId="67" fillId="0" borderId="35" xfId="0" applyNumberFormat="1" applyFont="1" applyBorder="1" applyAlignment="1">
      <alignment horizontal="center" vertical="center"/>
    </xf>
    <xf numFmtId="2" fontId="67" fillId="0" borderId="41" xfId="0" applyNumberFormat="1" applyFont="1" applyBorder="1" applyAlignment="1">
      <alignment horizontal="center"/>
    </xf>
    <xf numFmtId="4" fontId="3" fillId="74" borderId="68" xfId="420" applyNumberFormat="1" applyFont="1" applyFill="1" applyBorder="1" applyAlignment="1">
      <alignment horizontal="center" vertical="center" wrapText="1"/>
    </xf>
    <xf numFmtId="0" fontId="70" fillId="74" borderId="54" xfId="0" applyFont="1" applyFill="1" applyBorder="1" applyAlignment="1">
      <alignment vertical="top" wrapText="1"/>
    </xf>
    <xf numFmtId="0" fontId="69" fillId="0" borderId="44" xfId="0" applyFont="1" applyBorder="1" applyAlignment="1">
      <alignment horizontal="center"/>
    </xf>
    <xf numFmtId="0" fontId="0" fillId="0" borderId="42" xfId="0" applyBorder="1" applyAlignment="1">
      <alignment horizontal="center"/>
    </xf>
    <xf numFmtId="0" fontId="67" fillId="74" borderId="24" xfId="0" applyFont="1" applyFill="1" applyBorder="1" applyAlignment="1">
      <alignment horizontal="center"/>
    </xf>
    <xf numFmtId="0" fontId="0" fillId="74" borderId="24" xfId="0" applyFill="1" applyBorder="1" applyAlignment="1">
      <alignment horizontal="center"/>
    </xf>
    <xf numFmtId="2" fontId="0" fillId="74" borderId="24" xfId="0" applyNumberFormat="1" applyFill="1" applyBorder="1" applyAlignment="1">
      <alignment horizontal="center"/>
    </xf>
    <xf numFmtId="0" fontId="67" fillId="74" borderId="24" xfId="0" applyFont="1" applyFill="1" applyBorder="1" applyAlignment="1">
      <alignment horizontal="center" vertical="center" wrapText="1"/>
    </xf>
    <xf numFmtId="2" fontId="66" fillId="74" borderId="42" xfId="0" applyNumberFormat="1" applyFont="1" applyFill="1" applyBorder="1" applyAlignment="1">
      <alignment horizontal="center" vertical="center"/>
    </xf>
    <xf numFmtId="0" fontId="0" fillId="0" borderId="66"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49" fontId="2" fillId="74" borderId="61" xfId="0" applyNumberFormat="1" applyFont="1" applyFill="1" applyBorder="1" applyAlignment="1">
      <alignment horizontal="center" vertical="center" wrapText="1"/>
    </xf>
    <xf numFmtId="0" fontId="67" fillId="74" borderId="44" xfId="0" applyFont="1" applyFill="1" applyBorder="1" applyAlignment="1">
      <alignment horizontal="center"/>
    </xf>
    <xf numFmtId="0" fontId="0" fillId="74" borderId="23" xfId="0" applyFont="1" applyFill="1" applyBorder="1" applyAlignment="1">
      <alignment horizontal="center" vertical="center"/>
    </xf>
    <xf numFmtId="0" fontId="0" fillId="74" borderId="0" xfId="0" applyFont="1" applyFill="1" applyBorder="1" applyAlignment="1">
      <alignment/>
    </xf>
    <xf numFmtId="0" fontId="0" fillId="74" borderId="35" xfId="0" applyFont="1" applyFill="1" applyBorder="1" applyAlignment="1">
      <alignment/>
    </xf>
    <xf numFmtId="0" fontId="4" fillId="74" borderId="24" xfId="0" applyFont="1" applyFill="1" applyBorder="1" applyAlignment="1">
      <alignment horizontal="center" vertical="center"/>
    </xf>
    <xf numFmtId="0" fontId="4" fillId="74" borderId="24" xfId="0" applyFont="1" applyFill="1" applyBorder="1" applyAlignment="1">
      <alignment horizontal="center" vertical="center" wrapText="1"/>
    </xf>
    <xf numFmtId="0" fontId="4" fillId="74" borderId="28" xfId="0" applyFont="1" applyFill="1" applyBorder="1" applyAlignment="1">
      <alignment horizontal="center" vertical="center"/>
    </xf>
    <xf numFmtId="0" fontId="0" fillId="74" borderId="23" xfId="0" applyFont="1" applyFill="1" applyBorder="1" applyAlignment="1">
      <alignment horizontal="center"/>
    </xf>
    <xf numFmtId="0" fontId="0" fillId="74" borderId="24" xfId="0" applyFont="1" applyFill="1" applyBorder="1" applyAlignment="1">
      <alignment horizontal="center" vertical="center" wrapText="1"/>
    </xf>
    <xf numFmtId="0" fontId="0" fillId="74" borderId="24" xfId="0" applyFont="1" applyFill="1" applyBorder="1" applyAlignment="1">
      <alignment horizontal="center"/>
    </xf>
    <xf numFmtId="2" fontId="0" fillId="74" borderId="28" xfId="0" applyNumberFormat="1" applyFont="1" applyFill="1" applyBorder="1" applyAlignment="1">
      <alignment horizontal="center" vertical="center"/>
    </xf>
    <xf numFmtId="2" fontId="0" fillId="72" borderId="44" xfId="0" applyNumberFormat="1" applyFont="1" applyFill="1" applyBorder="1" applyAlignment="1">
      <alignment horizontal="center" vertical="center"/>
    </xf>
    <xf numFmtId="174" fontId="67" fillId="0" borderId="77" xfId="0" applyNumberFormat="1" applyFont="1" applyBorder="1" applyAlignment="1">
      <alignment horizontal="center" vertical="center"/>
    </xf>
    <xf numFmtId="0" fontId="0" fillId="74" borderId="23" xfId="0" applyFill="1" applyBorder="1" applyAlignment="1">
      <alignment/>
    </xf>
    <xf numFmtId="0" fontId="0" fillId="76" borderId="23" xfId="0" applyFill="1" applyBorder="1" applyAlignment="1">
      <alignment/>
    </xf>
    <xf numFmtId="0" fontId="3" fillId="74" borderId="55" xfId="0" applyNumberFormat="1" applyFont="1" applyFill="1" applyBorder="1" applyAlignment="1">
      <alignment horizontal="left" vertical="top" wrapText="1"/>
    </xf>
    <xf numFmtId="2" fontId="4" fillId="0" borderId="33" xfId="0" applyNumberFormat="1" applyFont="1" applyBorder="1" applyAlignment="1">
      <alignment horizontal="center" vertical="center"/>
    </xf>
    <xf numFmtId="2" fontId="0" fillId="0" borderId="66" xfId="0" applyNumberFormat="1" applyFont="1" applyBorder="1" applyAlignment="1">
      <alignment horizontal="center" vertical="center"/>
    </xf>
    <xf numFmtId="0" fontId="0" fillId="0" borderId="0" xfId="0" applyBorder="1" applyAlignment="1">
      <alignment horizontal="center"/>
    </xf>
    <xf numFmtId="0" fontId="67" fillId="0" borderId="28" xfId="0" applyFont="1" applyBorder="1" applyAlignment="1">
      <alignment/>
    </xf>
    <xf numFmtId="2" fontId="67" fillId="0" borderId="28" xfId="0" applyNumberFormat="1" applyFont="1" applyBorder="1" applyAlignment="1">
      <alignment horizontal="center"/>
    </xf>
    <xf numFmtId="2" fontId="67" fillId="0" borderId="83" xfId="0" applyNumberFormat="1" applyFont="1" applyBorder="1" applyAlignment="1">
      <alignment horizontal="center"/>
    </xf>
    <xf numFmtId="0" fontId="67" fillId="0" borderId="84" xfId="0" applyFont="1" applyFill="1" applyBorder="1" applyAlignment="1">
      <alignment horizontal="center"/>
    </xf>
    <xf numFmtId="0" fontId="66" fillId="0" borderId="84" xfId="0" applyFont="1" applyBorder="1" applyAlignment="1">
      <alignment horizontal="center"/>
    </xf>
    <xf numFmtId="0" fontId="66" fillId="0" borderId="28" xfId="0" applyFont="1" applyBorder="1" applyAlignment="1">
      <alignment horizontal="center"/>
    </xf>
    <xf numFmtId="0" fontId="67" fillId="0" borderId="35" xfId="0" applyFont="1" applyFill="1" applyBorder="1" applyAlignment="1">
      <alignment horizontal="center"/>
    </xf>
    <xf numFmtId="0" fontId="0" fillId="0" borderId="35" xfId="0" applyBorder="1" applyAlignment="1">
      <alignment horizontal="center" vertical="center"/>
    </xf>
    <xf numFmtId="0" fontId="67" fillId="76" borderId="23" xfId="0" applyFont="1" applyFill="1" applyBorder="1" applyAlignment="1">
      <alignment horizontal="center" vertical="center"/>
    </xf>
    <xf numFmtId="0" fontId="67" fillId="0" borderId="35" xfId="0" applyFont="1" applyBorder="1" applyAlignment="1">
      <alignment horizontal="center" vertical="center"/>
    </xf>
    <xf numFmtId="2" fontId="0" fillId="0" borderId="0" xfId="0" applyNumberFormat="1" applyBorder="1" applyAlignment="1">
      <alignment horizontal="center"/>
    </xf>
    <xf numFmtId="2" fontId="4" fillId="0" borderId="24" xfId="0" applyNumberFormat="1" applyFont="1" applyBorder="1" applyAlignment="1">
      <alignment horizontal="center" vertical="center"/>
    </xf>
    <xf numFmtId="0" fontId="0" fillId="0" borderId="0" xfId="0" applyFont="1" applyBorder="1" applyAlignment="1">
      <alignment horizontal="center" vertical="center"/>
    </xf>
    <xf numFmtId="0" fontId="4" fillId="0" borderId="84" xfId="0" applyFont="1" applyFill="1" applyBorder="1" applyAlignment="1">
      <alignment horizontal="left" vertical="center"/>
    </xf>
    <xf numFmtId="0" fontId="4" fillId="0" borderId="82" xfId="0" applyFont="1" applyFill="1" applyBorder="1" applyAlignment="1">
      <alignment horizontal="center" vertical="center"/>
    </xf>
    <xf numFmtId="0" fontId="3" fillId="0" borderId="0" xfId="0" applyFont="1" applyBorder="1" applyAlignment="1">
      <alignment horizontal="center" vertical="center"/>
    </xf>
    <xf numFmtId="0" fontId="3" fillId="76" borderId="0" xfId="0" applyNumberFormat="1" applyFont="1" applyFill="1" applyBorder="1" applyAlignment="1">
      <alignment horizontal="center" vertical="center"/>
    </xf>
    <xf numFmtId="0" fontId="3" fillId="74" borderId="0" xfId="0" applyNumberFormat="1" applyFont="1" applyFill="1" applyBorder="1" applyAlignment="1">
      <alignment horizontal="left" vertical="center" wrapText="1"/>
    </xf>
    <xf numFmtId="2" fontId="0" fillId="0" borderId="78" xfId="0" applyNumberFormat="1" applyFont="1" applyBorder="1" applyAlignment="1">
      <alignment horizontal="center" vertical="center"/>
    </xf>
    <xf numFmtId="0" fontId="3" fillId="74" borderId="85" xfId="0" applyNumberFormat="1" applyFont="1" applyFill="1" applyBorder="1" applyAlignment="1">
      <alignment horizontal="center" vertical="center" wrapText="1"/>
    </xf>
    <xf numFmtId="169" fontId="35" fillId="71" borderId="77" xfId="0" applyNumberFormat="1" applyFont="1" applyFill="1" applyBorder="1" applyAlignment="1">
      <alignment horizontal="center" vertical="center" wrapText="1"/>
    </xf>
    <xf numFmtId="0" fontId="0" fillId="0" borderId="75" xfId="0" applyBorder="1" applyAlignment="1">
      <alignment/>
    </xf>
    <xf numFmtId="2" fontId="4" fillId="0" borderId="78" xfId="0" applyNumberFormat="1" applyFont="1" applyBorder="1" applyAlignment="1">
      <alignment horizontal="center" vertical="center"/>
    </xf>
    <xf numFmtId="0" fontId="67" fillId="0" borderId="47" xfId="0" applyFont="1" applyBorder="1" applyAlignment="1">
      <alignment horizontal="center" vertical="center"/>
    </xf>
    <xf numFmtId="0" fontId="66" fillId="0" borderId="76" xfId="0" applyFont="1" applyBorder="1" applyAlignment="1">
      <alignment horizontal="center" vertical="center" wrapText="1"/>
    </xf>
    <xf numFmtId="2" fontId="0" fillId="0" borderId="80" xfId="0" applyNumberFormat="1" applyFont="1" applyBorder="1" applyAlignment="1">
      <alignment horizontal="center" vertical="center"/>
    </xf>
    <xf numFmtId="2" fontId="4" fillId="0" borderId="41" xfId="0" applyNumberFormat="1" applyFont="1" applyBorder="1" applyAlignment="1">
      <alignment horizontal="center" vertical="center"/>
    </xf>
    <xf numFmtId="2" fontId="4" fillId="0" borderId="45" xfId="0" applyNumberFormat="1" applyFont="1" applyBorder="1" applyAlignment="1">
      <alignment horizontal="center" vertical="center"/>
    </xf>
    <xf numFmtId="2" fontId="4" fillId="0" borderId="86" xfId="0" applyNumberFormat="1" applyFont="1" applyBorder="1" applyAlignment="1">
      <alignment horizontal="center" vertical="center"/>
    </xf>
    <xf numFmtId="2" fontId="4" fillId="0" borderId="87" xfId="0" applyNumberFormat="1" applyFont="1" applyBorder="1" applyAlignment="1">
      <alignment horizontal="center" vertical="center"/>
    </xf>
    <xf numFmtId="0" fontId="3" fillId="74" borderId="54" xfId="0" applyNumberFormat="1" applyFont="1" applyFill="1" applyBorder="1" applyAlignment="1">
      <alignment horizontal="left" vertical="top" wrapText="1"/>
    </xf>
    <xf numFmtId="4" fontId="3" fillId="74" borderId="73" xfId="420" applyNumberFormat="1" applyFont="1" applyFill="1" applyBorder="1" applyAlignment="1">
      <alignment horizontal="center" vertical="center" wrapText="1"/>
    </xf>
    <xf numFmtId="0" fontId="4" fillId="0" borderId="0" xfId="0" applyFont="1" applyBorder="1" applyAlignment="1">
      <alignment horizontal="center"/>
    </xf>
    <xf numFmtId="0" fontId="4" fillId="0" borderId="66" xfId="0" applyFont="1" applyBorder="1" applyAlignment="1">
      <alignment horizontal="center"/>
    </xf>
    <xf numFmtId="2" fontId="0" fillId="0" borderId="66" xfId="0" applyNumberFormat="1" applyBorder="1" applyAlignment="1">
      <alignment horizontal="center"/>
    </xf>
    <xf numFmtId="4" fontId="35" fillId="71" borderId="64" xfId="420" applyNumberFormat="1" applyFont="1" applyFill="1" applyBorder="1" applyAlignment="1">
      <alignment horizontal="center" vertical="center"/>
    </xf>
    <xf numFmtId="0" fontId="0" fillId="0" borderId="35" xfId="0" applyFont="1" applyBorder="1" applyAlignment="1">
      <alignment vertical="center"/>
    </xf>
    <xf numFmtId="0" fontId="3" fillId="0" borderId="23" xfId="0" applyFont="1" applyBorder="1" applyAlignment="1">
      <alignment vertical="center"/>
    </xf>
    <xf numFmtId="0" fontId="3" fillId="0" borderId="35"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3" fillId="0" borderId="30" xfId="0" applyFont="1" applyBorder="1" applyAlignment="1">
      <alignment horizontal="center" vertical="center"/>
    </xf>
    <xf numFmtId="0" fontId="3" fillId="0" borderId="31" xfId="0" applyFont="1" applyBorder="1" applyAlignment="1">
      <alignment vertical="center"/>
    </xf>
    <xf numFmtId="4" fontId="3" fillId="74" borderId="88" xfId="420" applyNumberFormat="1" applyFont="1" applyFill="1" applyBorder="1" applyAlignment="1">
      <alignment horizontal="center" vertical="center" wrapText="1"/>
    </xf>
    <xf numFmtId="0" fontId="35" fillId="71" borderId="59" xfId="420" applyNumberFormat="1" applyFont="1" applyFill="1" applyBorder="1" applyAlignment="1">
      <alignment horizontal="center" vertical="center" wrapText="1"/>
    </xf>
    <xf numFmtId="49" fontId="3" fillId="74" borderId="72" xfId="0" applyNumberFormat="1" applyFont="1" applyFill="1" applyBorder="1" applyAlignment="1">
      <alignment horizontal="center" vertical="center" wrapText="1"/>
    </xf>
    <xf numFmtId="0" fontId="70" fillId="74" borderId="73" xfId="0" applyFont="1" applyFill="1" applyBorder="1" applyAlignment="1">
      <alignment vertical="center" wrapText="1"/>
    </xf>
    <xf numFmtId="4" fontId="3" fillId="74" borderId="88" xfId="0" applyNumberFormat="1" applyFont="1" applyFill="1" applyBorder="1" applyAlignment="1">
      <alignment horizontal="center" vertical="center" wrapText="1"/>
    </xf>
    <xf numFmtId="4" fontId="35" fillId="71" borderId="64" xfId="0" applyNumberFormat="1" applyFont="1" applyFill="1" applyBorder="1" applyAlignment="1">
      <alignment horizontal="center" vertical="top" wrapText="1"/>
    </xf>
    <xf numFmtId="10" fontId="2" fillId="2" borderId="24" xfId="312" applyNumberFormat="1" applyFont="1" applyFill="1" applyBorder="1" applyAlignment="1">
      <alignment horizontal="center" vertical="top" wrapText="1"/>
      <protection/>
    </xf>
    <xf numFmtId="172" fontId="2" fillId="2" borderId="24" xfId="312" applyNumberFormat="1" applyFont="1" applyFill="1" applyBorder="1" applyAlignment="1">
      <alignment horizontal="center" vertical="top" wrapText="1"/>
      <protection/>
    </xf>
    <xf numFmtId="173" fontId="2" fillId="2" borderId="24" xfId="301" applyNumberFormat="1" applyFont="1" applyFill="1" applyBorder="1" applyAlignment="1">
      <alignment horizontal="center" vertical="top" wrapText="1"/>
    </xf>
    <xf numFmtId="173" fontId="2" fillId="2" borderId="24" xfId="312" applyNumberFormat="1" applyFont="1" applyFill="1" applyBorder="1" applyAlignment="1">
      <alignment horizontal="center" vertical="top" wrapText="1"/>
      <protection/>
    </xf>
    <xf numFmtId="10" fontId="0" fillId="2" borderId="0" xfId="312" applyNumberFormat="1" applyFill="1">
      <alignment/>
      <protection/>
    </xf>
    <xf numFmtId="172" fontId="0" fillId="2" borderId="0" xfId="312" applyNumberFormat="1" applyFill="1">
      <alignment/>
      <protection/>
    </xf>
    <xf numFmtId="2" fontId="4" fillId="0" borderId="29" xfId="0" applyNumberFormat="1" applyFont="1" applyBorder="1" applyAlignment="1">
      <alignment horizontal="center" vertical="center"/>
    </xf>
    <xf numFmtId="2" fontId="67" fillId="0" borderId="31" xfId="0" applyNumberFormat="1" applyFont="1" applyBorder="1" applyAlignment="1">
      <alignment horizontal="center" vertical="center"/>
    </xf>
    <xf numFmtId="2" fontId="4" fillId="0" borderId="77" xfId="0" applyNumberFormat="1" applyFont="1" applyBorder="1" applyAlignment="1">
      <alignment horizontal="center" vertical="center"/>
    </xf>
    <xf numFmtId="9" fontId="0" fillId="2" borderId="0" xfId="329" applyFont="1" applyFill="1" applyAlignment="1">
      <alignment/>
    </xf>
    <xf numFmtId="4" fontId="0" fillId="73" borderId="0" xfId="0" applyNumberFormat="1" applyFont="1" applyFill="1" applyBorder="1" applyAlignment="1">
      <alignment/>
    </xf>
    <xf numFmtId="173" fontId="2" fillId="2" borderId="24" xfId="418" applyNumberFormat="1" applyFont="1" applyFill="1" applyBorder="1" applyAlignment="1">
      <alignment vertical="top" wrapText="1"/>
    </xf>
    <xf numFmtId="44" fontId="0" fillId="2" borderId="0" xfId="296" applyFont="1" applyFill="1" applyAlignment="1">
      <alignment/>
    </xf>
    <xf numFmtId="0" fontId="0" fillId="2" borderId="28" xfId="312" applyFill="1" applyBorder="1">
      <alignment/>
      <protection/>
    </xf>
    <xf numFmtId="44" fontId="0" fillId="2" borderId="28" xfId="296" applyFont="1" applyFill="1" applyBorder="1" applyAlignment="1">
      <alignment/>
    </xf>
    <xf numFmtId="10" fontId="0" fillId="2" borderId="28" xfId="312" applyNumberFormat="1" applyFill="1" applyBorder="1">
      <alignment/>
      <protection/>
    </xf>
    <xf numFmtId="172" fontId="0" fillId="2" borderId="28" xfId="312" applyNumberFormat="1" applyFill="1" applyBorder="1">
      <alignment/>
      <protection/>
    </xf>
    <xf numFmtId="0" fontId="0" fillId="2" borderId="0" xfId="312" applyFill="1" applyBorder="1">
      <alignment/>
      <protection/>
    </xf>
    <xf numFmtId="172" fontId="39" fillId="2" borderId="89" xfId="312" applyNumberFormat="1" applyFont="1" applyFill="1" applyBorder="1" applyAlignment="1">
      <alignment vertical="top" wrapText="1"/>
      <protection/>
    </xf>
    <xf numFmtId="0" fontId="0" fillId="2" borderId="35" xfId="312" applyFill="1" applyBorder="1">
      <alignment/>
      <protection/>
    </xf>
    <xf numFmtId="0" fontId="0" fillId="2" borderId="30" xfId="312" applyFill="1" applyBorder="1">
      <alignment/>
      <protection/>
    </xf>
    <xf numFmtId="0" fontId="0" fillId="2" borderId="31" xfId="312" applyFill="1" applyBorder="1">
      <alignment/>
      <protection/>
    </xf>
    <xf numFmtId="2" fontId="66" fillId="0" borderId="47" xfId="0" applyNumberFormat="1" applyFont="1" applyBorder="1" applyAlignment="1">
      <alignment horizontal="center"/>
    </xf>
    <xf numFmtId="2" fontId="66" fillId="0" borderId="79" xfId="0" applyNumberFormat="1" applyFont="1" applyBorder="1" applyAlignment="1">
      <alignment horizontal="center"/>
    </xf>
    <xf numFmtId="0" fontId="0" fillId="0" borderId="82" xfId="0" applyBorder="1" applyAlignment="1">
      <alignment horizontal="center"/>
    </xf>
    <xf numFmtId="0" fontId="0" fillId="0" borderId="47" xfId="0" applyBorder="1" applyAlignment="1">
      <alignment horizontal="center"/>
    </xf>
    <xf numFmtId="0" fontId="66" fillId="0" borderId="47" xfId="0" applyFont="1" applyBorder="1" applyAlignment="1">
      <alignment horizontal="center"/>
    </xf>
    <xf numFmtId="0" fontId="66" fillId="0" borderId="25" xfId="0" applyFont="1" applyBorder="1" applyAlignment="1">
      <alignment horizontal="center"/>
    </xf>
    <xf numFmtId="0" fontId="66" fillId="0" borderId="79" xfId="0" applyFont="1" applyBorder="1" applyAlignment="1">
      <alignment horizontal="center"/>
    </xf>
    <xf numFmtId="0" fontId="3" fillId="74" borderId="90" xfId="0" applyNumberFormat="1" applyFont="1" applyFill="1" applyBorder="1" applyAlignment="1">
      <alignment horizontal="center" vertical="center"/>
    </xf>
    <xf numFmtId="0" fontId="3" fillId="74" borderId="90" xfId="0" applyNumberFormat="1" applyFont="1" applyFill="1" applyBorder="1" applyAlignment="1">
      <alignment horizontal="center" vertical="center" wrapText="1"/>
    </xf>
    <xf numFmtId="49" fontId="3" fillId="74" borderId="54" xfId="0" applyNumberFormat="1" applyFont="1" applyFill="1" applyBorder="1" applyAlignment="1">
      <alignment horizontal="center" vertical="center" wrapText="1"/>
    </xf>
    <xf numFmtId="49" fontId="3" fillId="74" borderId="55" xfId="0" applyNumberFormat="1" applyFont="1" applyFill="1" applyBorder="1" applyAlignment="1">
      <alignment horizontal="center" vertical="center" wrapText="1"/>
    </xf>
    <xf numFmtId="2" fontId="4" fillId="0" borderId="77" xfId="0" applyNumberFormat="1" applyFont="1" applyBorder="1" applyAlignment="1">
      <alignment horizontal="center"/>
    </xf>
    <xf numFmtId="0" fontId="3" fillId="74" borderId="75" xfId="0" applyNumberFormat="1" applyFont="1" applyFill="1" applyBorder="1" applyAlignment="1">
      <alignment horizontal="center" vertical="center" wrapText="1"/>
    </xf>
    <xf numFmtId="0" fontId="0" fillId="0" borderId="91" xfId="0" applyBorder="1" applyAlignment="1">
      <alignment/>
    </xf>
    <xf numFmtId="4" fontId="3" fillId="74" borderId="61" xfId="0" applyNumberFormat="1" applyFont="1" applyFill="1" applyBorder="1" applyAlignment="1">
      <alignment horizontal="center" vertical="center" wrapText="1"/>
    </xf>
    <xf numFmtId="0" fontId="3" fillId="74" borderId="73" xfId="0" applyNumberFormat="1" applyFont="1" applyFill="1" applyBorder="1" applyAlignment="1">
      <alignment horizontal="left" vertical="center" wrapText="1"/>
    </xf>
    <xf numFmtId="0" fontId="66" fillId="0" borderId="23" xfId="0" applyFont="1" applyBorder="1" applyAlignment="1">
      <alignment horizontal="center" vertical="center"/>
    </xf>
    <xf numFmtId="0" fontId="66" fillId="0" borderId="36" xfId="0" applyFont="1" applyBorder="1" applyAlignment="1">
      <alignment horizontal="center" vertical="center"/>
    </xf>
    <xf numFmtId="0" fontId="66" fillId="72" borderId="45" xfId="0" applyFont="1" applyFill="1" applyBorder="1" applyAlignment="1">
      <alignment horizontal="center" vertical="center"/>
    </xf>
    <xf numFmtId="0" fontId="67" fillId="0" borderId="24" xfId="0" applyFont="1" applyBorder="1" applyAlignment="1">
      <alignment horizontal="center" vertical="center" wrapText="1"/>
    </xf>
    <xf numFmtId="0" fontId="67" fillId="0" borderId="0" xfId="0" applyFont="1" applyBorder="1" applyAlignment="1">
      <alignment horizontal="center"/>
    </xf>
    <xf numFmtId="0" fontId="67" fillId="0" borderId="35" xfId="0" applyFont="1" applyBorder="1" applyAlignment="1">
      <alignment horizont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174" fontId="66" fillId="74" borderId="24" xfId="0" applyNumberFormat="1" applyFont="1" applyFill="1" applyBorder="1" applyAlignment="1">
      <alignment horizontal="center" vertical="center"/>
    </xf>
    <xf numFmtId="2" fontId="66" fillId="74" borderId="28" xfId="0" applyNumberFormat="1" applyFont="1" applyFill="1" applyBorder="1" applyAlignment="1">
      <alignment horizontal="center" vertical="center"/>
    </xf>
    <xf numFmtId="0" fontId="0" fillId="0" borderId="0" xfId="0" applyFont="1" applyBorder="1" applyAlignment="1">
      <alignment horizontal="center" vertical="center"/>
    </xf>
    <xf numFmtId="0" fontId="3" fillId="0" borderId="30" xfId="0" applyFont="1" applyBorder="1" applyAlignment="1">
      <alignment horizontal="center" vertical="center"/>
    </xf>
    <xf numFmtId="0" fontId="3" fillId="0" borderId="0" xfId="0" applyFont="1" applyBorder="1" applyAlignment="1">
      <alignment horizontal="center" vertical="center"/>
    </xf>
    <xf numFmtId="0" fontId="69" fillId="0" borderId="24" xfId="0" applyFont="1" applyFill="1" applyBorder="1" applyAlignment="1">
      <alignment horizontal="left" vertical="center" wrapText="1"/>
    </xf>
    <xf numFmtId="4" fontId="3" fillId="74" borderId="68" xfId="0" applyNumberFormat="1" applyFont="1" applyFill="1" applyBorder="1" applyAlignment="1">
      <alignment horizontal="center" vertical="center" wrapText="1"/>
    </xf>
    <xf numFmtId="0" fontId="69" fillId="0" borderId="25" xfId="0" applyFont="1" applyFill="1" applyBorder="1" applyAlignment="1">
      <alignment horizontal="left" vertical="center" wrapText="1"/>
    </xf>
    <xf numFmtId="49" fontId="2" fillId="2" borderId="25" xfId="312" applyNumberFormat="1" applyFont="1" applyFill="1" applyBorder="1" applyAlignment="1">
      <alignment horizontal="center" vertical="top" wrapText="1"/>
      <protection/>
    </xf>
    <xf numFmtId="10" fontId="2" fillId="2" borderId="25" xfId="312" applyNumberFormat="1" applyFont="1" applyFill="1" applyBorder="1" applyAlignment="1">
      <alignment vertical="top" wrapText="1"/>
      <protection/>
    </xf>
    <xf numFmtId="10" fontId="2" fillId="2" borderId="25" xfId="418" applyNumberFormat="1" applyFont="1" applyFill="1" applyBorder="1" applyAlignment="1">
      <alignment vertical="top" wrapText="1"/>
    </xf>
    <xf numFmtId="0" fontId="0" fillId="2" borderId="27" xfId="312" applyFill="1" applyBorder="1">
      <alignment/>
      <protection/>
    </xf>
    <xf numFmtId="0" fontId="4" fillId="72" borderId="50" xfId="312" applyFont="1" applyFill="1" applyBorder="1" applyAlignment="1">
      <alignment horizontal="center" vertical="center"/>
      <protection/>
    </xf>
    <xf numFmtId="0" fontId="4" fillId="72" borderId="51" xfId="312" applyFont="1" applyFill="1" applyBorder="1" applyAlignment="1">
      <alignment horizontal="center" vertical="center"/>
      <protection/>
    </xf>
    <xf numFmtId="0" fontId="4" fillId="72" borderId="51" xfId="312" applyFont="1" applyFill="1" applyBorder="1" applyAlignment="1">
      <alignment horizontal="center" vertical="center" wrapText="1"/>
      <protection/>
    </xf>
    <xf numFmtId="0" fontId="4" fillId="72" borderId="52" xfId="312" applyFont="1" applyFill="1" applyBorder="1" applyAlignment="1">
      <alignment horizontal="center" vertical="center"/>
      <protection/>
    </xf>
    <xf numFmtId="49" fontId="2" fillId="72" borderId="24" xfId="312" applyNumberFormat="1" applyFont="1" applyFill="1" applyBorder="1" applyAlignment="1">
      <alignment horizontal="center" vertical="top" wrapText="1"/>
      <protection/>
    </xf>
    <xf numFmtId="10" fontId="2" fillId="72" borderId="24" xfId="312" applyNumberFormat="1" applyFont="1" applyFill="1" applyBorder="1" applyAlignment="1">
      <alignment horizontal="center" vertical="top" wrapText="1"/>
      <protection/>
    </xf>
    <xf numFmtId="10" fontId="2" fillId="72" borderId="24" xfId="312" applyNumberFormat="1" applyFont="1" applyFill="1" applyBorder="1" applyAlignment="1">
      <alignment vertical="top" wrapText="1"/>
      <protection/>
    </xf>
    <xf numFmtId="10" fontId="2" fillId="72" borderId="28" xfId="312" applyNumberFormat="1" applyFont="1" applyFill="1" applyBorder="1" applyAlignment="1">
      <alignment vertical="top" wrapText="1"/>
      <protection/>
    </xf>
    <xf numFmtId="10" fontId="2" fillId="72" borderId="24" xfId="418" applyNumberFormat="1" applyFont="1" applyFill="1" applyBorder="1" applyAlignment="1">
      <alignment vertical="top" wrapText="1"/>
    </xf>
    <xf numFmtId="0" fontId="0" fillId="72" borderId="28" xfId="312" applyFill="1" applyBorder="1">
      <alignment/>
      <protection/>
    </xf>
    <xf numFmtId="172" fontId="0" fillId="72" borderId="28" xfId="312" applyNumberFormat="1" applyFill="1" applyBorder="1">
      <alignment/>
      <protection/>
    </xf>
    <xf numFmtId="10" fontId="0" fillId="72" borderId="28" xfId="312" applyNumberFormat="1" applyFill="1" applyBorder="1">
      <alignment/>
      <protection/>
    </xf>
    <xf numFmtId="0" fontId="0" fillId="72" borderId="24" xfId="312" applyFill="1" applyBorder="1">
      <alignment/>
      <protection/>
    </xf>
    <xf numFmtId="49" fontId="39" fillId="72" borderId="24" xfId="312" applyNumberFormat="1" applyFont="1" applyFill="1" applyBorder="1" applyAlignment="1">
      <alignment horizontal="center" vertical="top" wrapText="1"/>
      <protection/>
    </xf>
    <xf numFmtId="10" fontId="39" fillId="72" borderId="24" xfId="312" applyNumberFormat="1" applyFont="1" applyFill="1" applyBorder="1" applyAlignment="1">
      <alignment horizontal="center" vertical="top" wrapText="1"/>
      <protection/>
    </xf>
    <xf numFmtId="10" fontId="39" fillId="72" borderId="24" xfId="312" applyNumberFormat="1" applyFont="1" applyFill="1" applyBorder="1" applyAlignment="1">
      <alignment vertical="top" wrapText="1"/>
      <protection/>
    </xf>
    <xf numFmtId="10" fontId="39" fillId="72" borderId="28" xfId="312" applyNumberFormat="1" applyFont="1" applyFill="1" applyBorder="1" applyAlignment="1">
      <alignment vertical="top" wrapText="1"/>
      <protection/>
    </xf>
    <xf numFmtId="4" fontId="3" fillId="74" borderId="92" xfId="0" applyNumberFormat="1" applyFont="1" applyFill="1" applyBorder="1" applyAlignment="1">
      <alignment horizontal="center" vertical="center" wrapText="1"/>
    </xf>
    <xf numFmtId="0" fontId="70" fillId="74" borderId="62" xfId="0" applyFont="1" applyFill="1" applyBorder="1" applyAlignment="1">
      <alignment vertical="center" wrapText="1"/>
    </xf>
    <xf numFmtId="0" fontId="70" fillId="74" borderId="75" xfId="0" applyFont="1" applyFill="1" applyBorder="1" applyAlignment="1">
      <alignment vertical="center" wrapText="1"/>
    </xf>
    <xf numFmtId="49" fontId="3" fillId="74" borderId="93" xfId="0" applyNumberFormat="1" applyFont="1" applyFill="1" applyBorder="1" applyAlignment="1">
      <alignment horizontal="center" vertical="center" wrapText="1"/>
    </xf>
    <xf numFmtId="49" fontId="3" fillId="74" borderId="91" xfId="0" applyNumberFormat="1" applyFont="1" applyFill="1" applyBorder="1" applyAlignment="1">
      <alignment horizontal="center" vertical="center" wrapText="1"/>
    </xf>
    <xf numFmtId="49" fontId="3" fillId="74" borderId="62" xfId="0" applyNumberFormat="1" applyFont="1" applyFill="1" applyBorder="1" applyAlignment="1">
      <alignment horizontal="center" vertical="center" wrapText="1"/>
    </xf>
    <xf numFmtId="0" fontId="3" fillId="74" borderId="94" xfId="0" applyNumberFormat="1" applyFont="1" applyFill="1" applyBorder="1" applyAlignment="1">
      <alignment horizontal="center" vertical="center" wrapText="1"/>
    </xf>
    <xf numFmtId="0" fontId="66" fillId="0" borderId="23" xfId="0" applyFont="1" applyBorder="1" applyAlignment="1">
      <alignment horizontal="center" vertical="center"/>
    </xf>
    <xf numFmtId="0" fontId="67" fillId="0" borderId="24" xfId="0" applyFont="1" applyBorder="1" applyAlignment="1">
      <alignment horizontal="center" vertical="center" wrapText="1"/>
    </xf>
    <xf numFmtId="0" fontId="67" fillId="0" borderId="0" xfId="0" applyFont="1" applyBorder="1" applyAlignment="1">
      <alignment horizontal="center"/>
    </xf>
    <xf numFmtId="0" fontId="0" fillId="0" borderId="0" xfId="0" applyFont="1" applyBorder="1" applyAlignment="1">
      <alignment horizontal="center" vertical="center"/>
    </xf>
    <xf numFmtId="0" fontId="0" fillId="2" borderId="29" xfId="312" applyFill="1" applyBorder="1">
      <alignment/>
      <protection/>
    </xf>
    <xf numFmtId="0" fontId="0" fillId="2" borderId="30" xfId="312" applyFill="1" applyBorder="1" applyAlignment="1">
      <alignment wrapText="1"/>
      <protection/>
    </xf>
    <xf numFmtId="10" fontId="2" fillId="72" borderId="28" xfId="312" applyNumberFormat="1" applyFont="1" applyFill="1" applyBorder="1">
      <alignment/>
      <protection/>
    </xf>
    <xf numFmtId="172" fontId="2" fillId="2" borderId="28" xfId="312" applyNumberFormat="1" applyFont="1" applyFill="1" applyBorder="1">
      <alignment/>
      <protection/>
    </xf>
    <xf numFmtId="0" fontId="67" fillId="0" borderId="76" xfId="0" applyFont="1" applyBorder="1" applyAlignment="1">
      <alignment horizontal="center" vertical="center" wrapText="1"/>
    </xf>
    <xf numFmtId="2" fontId="67" fillId="0" borderId="76" xfId="0" applyNumberFormat="1" applyFont="1" applyBorder="1" applyAlignment="1">
      <alignment/>
    </xf>
    <xf numFmtId="0" fontId="0" fillId="0" borderId="42" xfId="0" applyFont="1" applyBorder="1" applyAlignment="1">
      <alignment horizontal="center" vertical="center"/>
    </xf>
    <xf numFmtId="2" fontId="0" fillId="74" borderId="42" xfId="0" applyNumberFormat="1" applyFont="1" applyFill="1" applyBorder="1" applyAlignment="1">
      <alignment horizontal="center"/>
    </xf>
    <xf numFmtId="2" fontId="0" fillId="74" borderId="83" xfId="0" applyNumberFormat="1" applyFont="1" applyFill="1" applyBorder="1" applyAlignment="1">
      <alignment horizontal="center" vertical="center"/>
    </xf>
    <xf numFmtId="2" fontId="66" fillId="0" borderId="83" xfId="0" applyNumberFormat="1" applyFont="1" applyBorder="1" applyAlignment="1">
      <alignment horizontal="center" vertical="center"/>
    </xf>
    <xf numFmtId="0" fontId="3" fillId="74" borderId="95" xfId="0" applyNumberFormat="1" applyFont="1" applyFill="1" applyBorder="1" applyAlignment="1">
      <alignment horizontal="center" vertical="center" wrapText="1"/>
    </xf>
    <xf numFmtId="0" fontId="3" fillId="74" borderId="96" xfId="0" applyNumberFormat="1" applyFont="1" applyFill="1" applyBorder="1" applyAlignment="1">
      <alignment horizontal="center" vertical="center" wrapText="1"/>
    </xf>
    <xf numFmtId="0" fontId="3" fillId="74" borderId="96" xfId="0" applyNumberFormat="1" applyFont="1" applyFill="1" applyBorder="1" applyAlignment="1">
      <alignment horizontal="right" vertical="center" wrapText="1"/>
    </xf>
    <xf numFmtId="4" fontId="3" fillId="74" borderId="97" xfId="420" applyNumberFormat="1" applyFont="1" applyFill="1" applyBorder="1" applyAlignment="1">
      <alignment horizontal="center" vertical="center" wrapText="1"/>
    </xf>
    <xf numFmtId="175" fontId="3" fillId="74" borderId="98" xfId="0" applyNumberFormat="1" applyFont="1" applyFill="1" applyBorder="1" applyAlignment="1">
      <alignment horizontal="center" vertical="center" wrapText="1"/>
    </xf>
    <xf numFmtId="0" fontId="0" fillId="72" borderId="43" xfId="0" applyFont="1" applyFill="1" applyBorder="1" applyAlignment="1">
      <alignment horizontal="left" vertical="center" wrapText="1"/>
    </xf>
    <xf numFmtId="0" fontId="0" fillId="72" borderId="41" xfId="0" applyFont="1" applyFill="1" applyBorder="1" applyAlignment="1">
      <alignment horizontal="left" vertical="center" wrapText="1"/>
    </xf>
    <xf numFmtId="0" fontId="0" fillId="72" borderId="45" xfId="0" applyFont="1" applyFill="1" applyBorder="1" applyAlignment="1">
      <alignment horizontal="left" vertical="center" wrapText="1"/>
    </xf>
    <xf numFmtId="0" fontId="66" fillId="72" borderId="43" xfId="0" applyFont="1" applyFill="1" applyBorder="1" applyAlignment="1">
      <alignment horizontal="left" vertical="top" wrapText="1"/>
    </xf>
    <xf numFmtId="0" fontId="66" fillId="72" borderId="41" xfId="0" applyFont="1" applyFill="1" applyBorder="1" applyAlignment="1">
      <alignment horizontal="left" vertical="top" wrapText="1"/>
    </xf>
    <xf numFmtId="0" fontId="66" fillId="72" borderId="45" xfId="0" applyFont="1" applyFill="1" applyBorder="1" applyAlignment="1">
      <alignment horizontal="left" vertical="top" wrapText="1"/>
    </xf>
    <xf numFmtId="0" fontId="26" fillId="72" borderId="41" xfId="0" applyFont="1" applyFill="1" applyBorder="1" applyAlignment="1">
      <alignment horizontal="left" vertical="center" wrapText="1"/>
    </xf>
    <xf numFmtId="0" fontId="26" fillId="72" borderId="45" xfId="0" applyFont="1" applyFill="1" applyBorder="1" applyAlignment="1">
      <alignment horizontal="left" vertical="center" wrapText="1"/>
    </xf>
    <xf numFmtId="0" fontId="66" fillId="0" borderId="23" xfId="0" applyFont="1" applyBorder="1" applyAlignment="1">
      <alignment horizontal="center" vertical="center"/>
    </xf>
    <xf numFmtId="0" fontId="67" fillId="71" borderId="43" xfId="0" applyFont="1" applyFill="1" applyBorder="1" applyAlignment="1">
      <alignment horizontal="center" vertical="center" wrapText="1"/>
    </xf>
    <xf numFmtId="0" fontId="67" fillId="71" borderId="41" xfId="0" applyFont="1" applyFill="1" applyBorder="1" applyAlignment="1">
      <alignment horizontal="center" vertical="center" wrapText="1"/>
    </xf>
    <xf numFmtId="0" fontId="67" fillId="71" borderId="45" xfId="0" applyFont="1" applyFill="1" applyBorder="1" applyAlignment="1">
      <alignment horizontal="center" vertical="center" wrapText="1"/>
    </xf>
    <xf numFmtId="0" fontId="67" fillId="0" borderId="66" xfId="0" applyFont="1" applyBorder="1" applyAlignment="1">
      <alignment horizontal="center" vertical="center" wrapText="1"/>
    </xf>
    <xf numFmtId="0" fontId="67" fillId="0" borderId="82" xfId="0" applyFont="1" applyBorder="1" applyAlignment="1">
      <alignment horizontal="center" vertical="center" wrapText="1"/>
    </xf>
    <xf numFmtId="0" fontId="67" fillId="0" borderId="47" xfId="0" applyFont="1" applyBorder="1" applyAlignment="1">
      <alignment horizontal="center" vertical="center" wrapText="1"/>
    </xf>
    <xf numFmtId="0" fontId="67" fillId="0" borderId="0" xfId="0" applyFont="1" applyBorder="1" applyAlignment="1">
      <alignment horizontal="center"/>
    </xf>
    <xf numFmtId="0" fontId="67" fillId="0" borderId="35" xfId="0" applyFont="1" applyBorder="1" applyAlignment="1">
      <alignment horizontal="center"/>
    </xf>
    <xf numFmtId="0" fontId="66" fillId="72" borderId="43" xfId="0" applyFont="1" applyFill="1" applyBorder="1" applyAlignment="1">
      <alignment horizontal="left" vertical="center" wrapText="1"/>
    </xf>
    <xf numFmtId="0" fontId="66" fillId="72" borderId="41" xfId="0" applyFont="1" applyFill="1" applyBorder="1" applyAlignment="1">
      <alignment horizontal="left" vertical="center" wrapText="1"/>
    </xf>
    <xf numFmtId="0" fontId="66" fillId="72" borderId="45" xfId="0" applyFont="1" applyFill="1" applyBorder="1" applyAlignment="1">
      <alignment horizontal="left" vertical="center" wrapText="1"/>
    </xf>
    <xf numFmtId="0" fontId="4" fillId="0" borderId="66" xfId="0" applyFont="1" applyBorder="1" applyAlignment="1">
      <alignment horizontal="center" vertical="center"/>
    </xf>
    <xf numFmtId="0" fontId="4" fillId="0" borderId="82" xfId="0" applyFont="1" applyBorder="1" applyAlignment="1">
      <alignment horizontal="center" vertical="center"/>
    </xf>
    <xf numFmtId="0" fontId="4" fillId="0" borderId="84" xfId="0" applyFont="1" applyBorder="1" applyAlignment="1">
      <alignment horizontal="center" vertical="center"/>
    </xf>
    <xf numFmtId="0" fontId="67" fillId="75" borderId="43" xfId="0" applyFont="1" applyFill="1" applyBorder="1" applyAlignment="1">
      <alignment horizontal="center"/>
    </xf>
    <xf numFmtId="0" fontId="67" fillId="75" borderId="41" xfId="0" applyFont="1" applyFill="1" applyBorder="1" applyAlignment="1">
      <alignment horizontal="center"/>
    </xf>
    <xf numFmtId="0" fontId="67" fillId="75" borderId="45" xfId="0" applyFont="1" applyFill="1" applyBorder="1" applyAlignment="1">
      <alignment horizontal="center"/>
    </xf>
    <xf numFmtId="0" fontId="0" fillId="0" borderId="46" xfId="0" applyFont="1" applyBorder="1" applyAlignment="1">
      <alignment horizontal="center" vertical="center"/>
    </xf>
    <xf numFmtId="0" fontId="0" fillId="0" borderId="40" xfId="0" applyFont="1" applyBorder="1" applyAlignment="1">
      <alignment horizontal="center" vertical="center"/>
    </xf>
    <xf numFmtId="0" fontId="67" fillId="76" borderId="66" xfId="0" applyFont="1" applyFill="1" applyBorder="1" applyAlignment="1">
      <alignment horizontal="center"/>
    </xf>
    <xf numFmtId="0" fontId="67" fillId="76" borderId="82" xfId="0" applyFont="1" applyFill="1" applyBorder="1" applyAlignment="1">
      <alignment horizontal="center"/>
    </xf>
    <xf numFmtId="0" fontId="67" fillId="76" borderId="84" xfId="0" applyFont="1" applyFill="1" applyBorder="1" applyAlignment="1">
      <alignment horizontal="center"/>
    </xf>
    <xf numFmtId="0" fontId="67" fillId="0" borderId="24" xfId="0" applyFont="1" applyBorder="1" applyAlignment="1">
      <alignment horizontal="center" vertical="center" wrapText="1"/>
    </xf>
    <xf numFmtId="165" fontId="0" fillId="72" borderId="43" xfId="415" applyFont="1" applyFill="1" applyBorder="1" applyAlignment="1">
      <alignment horizontal="left" vertical="center" wrapText="1"/>
    </xf>
    <xf numFmtId="165" fontId="0" fillId="72" borderId="41" xfId="415" applyFont="1" applyFill="1" applyBorder="1" applyAlignment="1">
      <alignment horizontal="left" vertical="center" wrapText="1"/>
    </xf>
    <xf numFmtId="165" fontId="0" fillId="72" borderId="45" xfId="415" applyFont="1" applyFill="1" applyBorder="1" applyAlignment="1">
      <alignment horizontal="left" vertical="center" wrapText="1"/>
    </xf>
    <xf numFmtId="0" fontId="0" fillId="0" borderId="2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35" xfId="0" applyFont="1" applyBorder="1" applyAlignment="1">
      <alignment horizontal="center" vertical="center"/>
    </xf>
    <xf numFmtId="0" fontId="66" fillId="0" borderId="43" xfId="0" applyFont="1" applyBorder="1" applyAlignment="1">
      <alignment horizontal="center"/>
    </xf>
    <xf numFmtId="0" fontId="66" fillId="0" borderId="41" xfId="0" applyFont="1" applyBorder="1" applyAlignment="1">
      <alignment horizontal="center"/>
    </xf>
    <xf numFmtId="0" fontId="66" fillId="0" borderId="45" xfId="0" applyFont="1" applyBorder="1" applyAlignment="1">
      <alignment horizontal="center"/>
    </xf>
    <xf numFmtId="0" fontId="67" fillId="77" borderId="43" xfId="0" applyFont="1" applyFill="1" applyBorder="1" applyAlignment="1">
      <alignment horizontal="center"/>
    </xf>
    <xf numFmtId="0" fontId="67" fillId="77" borderId="41" xfId="0" applyFont="1" applyFill="1" applyBorder="1" applyAlignment="1">
      <alignment horizontal="center"/>
    </xf>
    <xf numFmtId="0" fontId="67" fillId="77" borderId="45" xfId="0" applyFont="1" applyFill="1" applyBorder="1" applyAlignment="1">
      <alignment horizontal="center"/>
    </xf>
    <xf numFmtId="0" fontId="67" fillId="71" borderId="43" xfId="0" applyFont="1" applyFill="1" applyBorder="1" applyAlignment="1">
      <alignment horizontal="center" vertical="center"/>
    </xf>
    <xf numFmtId="0" fontId="67" fillId="71" borderId="41" xfId="0" applyFont="1" applyFill="1" applyBorder="1" applyAlignment="1">
      <alignment horizontal="center" vertical="center"/>
    </xf>
    <xf numFmtId="0" fontId="67" fillId="71" borderId="45" xfId="0" applyFont="1" applyFill="1" applyBorder="1" applyAlignment="1">
      <alignment horizontal="center" vertical="center"/>
    </xf>
    <xf numFmtId="0" fontId="66" fillId="0" borderId="36" xfId="0" applyFont="1" applyBorder="1" applyAlignment="1">
      <alignment horizontal="center" vertical="center"/>
    </xf>
    <xf numFmtId="0" fontId="66" fillId="72" borderId="43" xfId="0" applyFont="1" applyFill="1" applyBorder="1" applyAlignment="1">
      <alignment horizontal="center" vertical="center"/>
    </xf>
    <xf numFmtId="0" fontId="66" fillId="72" borderId="41" xfId="0" applyFont="1" applyFill="1" applyBorder="1" applyAlignment="1">
      <alignment horizontal="center" vertical="center"/>
    </xf>
    <xf numFmtId="0" fontId="66" fillId="72" borderId="45" xfId="0" applyFont="1" applyFill="1" applyBorder="1" applyAlignment="1">
      <alignment horizontal="center" vertical="center"/>
    </xf>
    <xf numFmtId="0" fontId="66" fillId="72" borderId="43" xfId="0" applyFont="1" applyFill="1" applyBorder="1" applyAlignment="1">
      <alignment horizontal="center" vertical="center" wrapText="1"/>
    </xf>
    <xf numFmtId="0" fontId="66" fillId="72" borderId="41" xfId="0" applyFont="1" applyFill="1" applyBorder="1" applyAlignment="1">
      <alignment horizontal="center" vertical="center" wrapText="1"/>
    </xf>
    <xf numFmtId="0" fontId="67" fillId="76" borderId="24" xfId="0" applyFont="1" applyFill="1" applyBorder="1" applyAlignment="1">
      <alignment horizontal="center"/>
    </xf>
    <xf numFmtId="0" fontId="41" fillId="75" borderId="43" xfId="0" applyFont="1" applyFill="1" applyBorder="1" applyAlignment="1">
      <alignment horizontal="center" vertical="center"/>
    </xf>
    <xf numFmtId="0" fontId="42" fillId="75" borderId="41" xfId="0" applyFont="1" applyFill="1" applyBorder="1" applyAlignment="1">
      <alignment horizontal="center" vertical="center"/>
    </xf>
    <xf numFmtId="0" fontId="42" fillId="75" borderId="45" xfId="0" applyFont="1" applyFill="1" applyBorder="1" applyAlignment="1">
      <alignment horizontal="center" vertical="center"/>
    </xf>
    <xf numFmtId="0" fontId="2" fillId="0" borderId="48" xfId="0" applyFont="1" applyBorder="1" applyAlignment="1">
      <alignment horizontal="center" vertical="center"/>
    </xf>
    <xf numFmtId="0" fontId="3" fillId="0" borderId="30" xfId="0" applyFont="1" applyBorder="1" applyAlignment="1">
      <alignment horizontal="center" vertical="center"/>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35" fillId="71" borderId="29" xfId="0" applyFont="1" applyFill="1" applyBorder="1" applyAlignment="1">
      <alignment horizontal="right" vertical="center" wrapText="1"/>
    </xf>
    <xf numFmtId="0" fontId="35" fillId="71" borderId="30" xfId="0" applyFont="1" applyFill="1" applyBorder="1" applyAlignment="1">
      <alignment horizontal="right" vertical="center" wrapText="1"/>
    </xf>
    <xf numFmtId="0" fontId="35" fillId="71" borderId="31" xfId="0" applyFont="1" applyFill="1" applyBorder="1" applyAlignment="1">
      <alignment horizontal="right" vertical="center" wrapText="1"/>
    </xf>
    <xf numFmtId="0" fontId="35" fillId="0" borderId="43" xfId="0" applyFont="1" applyBorder="1" applyAlignment="1">
      <alignment horizontal="center" vertical="center" wrapText="1"/>
    </xf>
    <xf numFmtId="0" fontId="35" fillId="0" borderId="41" xfId="0" applyFont="1" applyBorder="1" applyAlignment="1">
      <alignment horizontal="center" vertical="center" wrapText="1"/>
    </xf>
    <xf numFmtId="0" fontId="35" fillId="0" borderId="45" xfId="0" applyFont="1" applyBorder="1" applyAlignment="1">
      <alignment horizontal="center" vertical="center" wrapText="1"/>
    </xf>
    <xf numFmtId="0" fontId="2" fillId="0" borderId="40" xfId="0" applyFont="1" applyBorder="1" applyAlignment="1">
      <alignment horizontal="center" vertical="center"/>
    </xf>
    <xf numFmtId="0" fontId="3" fillId="0" borderId="0" xfId="0" applyFont="1" applyBorder="1" applyAlignment="1">
      <alignment horizontal="center" vertical="center"/>
    </xf>
    <xf numFmtId="0" fontId="4" fillId="0" borderId="99" xfId="0" applyFont="1" applyFill="1" applyBorder="1" applyAlignment="1">
      <alignment horizontal="left" vertical="center" wrapText="1"/>
    </xf>
    <xf numFmtId="0" fontId="4" fillId="0" borderId="82"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66"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84" xfId="0" applyFont="1" applyFill="1" applyBorder="1" applyAlignment="1">
      <alignment horizontal="center" vertical="center"/>
    </xf>
    <xf numFmtId="0" fontId="4" fillId="0" borderId="81"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80" xfId="0" applyFont="1" applyFill="1" applyBorder="1" applyAlignment="1">
      <alignment horizontal="left" vertical="center"/>
    </xf>
    <xf numFmtId="0" fontId="4" fillId="0" borderId="100" xfId="0" applyFont="1" applyFill="1" applyBorder="1" applyAlignment="1">
      <alignment horizontal="left" vertical="center"/>
    </xf>
    <xf numFmtId="0" fontId="4" fillId="0" borderId="29" xfId="0" applyFont="1" applyFill="1" applyBorder="1" applyAlignment="1">
      <alignment horizontal="left" vertical="center" wrapText="1"/>
    </xf>
    <xf numFmtId="0" fontId="4" fillId="0" borderId="30" xfId="0" applyFont="1" applyFill="1" applyBorder="1" applyAlignment="1">
      <alignment horizontal="left" vertical="center" wrapText="1"/>
    </xf>
    <xf numFmtId="0" fontId="4" fillId="0" borderId="100" xfId="0" applyFont="1" applyFill="1" applyBorder="1" applyAlignment="1">
      <alignment horizontal="left" vertical="center" wrapText="1"/>
    </xf>
    <xf numFmtId="0" fontId="0" fillId="0" borderId="32" xfId="0" applyBorder="1" applyAlignment="1">
      <alignment horizontal="center"/>
    </xf>
    <xf numFmtId="0" fontId="0" fillId="0" borderId="33" xfId="0" applyBorder="1" applyAlignment="1">
      <alignment horizontal="center"/>
    </xf>
    <xf numFmtId="0" fontId="0" fillId="0" borderId="33" xfId="0" applyBorder="1" applyAlignment="1">
      <alignment horizontal="center" wrapText="1"/>
    </xf>
    <xf numFmtId="0" fontId="0" fillId="0" borderId="34" xfId="0" applyBorder="1" applyAlignment="1">
      <alignment horizontal="center" wrapText="1"/>
    </xf>
    <xf numFmtId="0" fontId="0" fillId="0" borderId="29"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4" fillId="0" borderId="32" xfId="0" applyFont="1" applyFill="1" applyBorder="1" applyAlignment="1">
      <alignment horizontal="center" vertical="center"/>
    </xf>
    <xf numFmtId="0" fontId="4" fillId="0" borderId="33"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101" xfId="0" applyFont="1" applyFill="1" applyBorder="1" applyAlignment="1">
      <alignment horizontal="left" vertical="center" wrapText="1"/>
    </xf>
    <xf numFmtId="0" fontId="4" fillId="0" borderId="37" xfId="0" applyFont="1" applyFill="1" applyBorder="1" applyAlignment="1">
      <alignment horizontal="left" vertical="center" wrapText="1"/>
    </xf>
    <xf numFmtId="0" fontId="4" fillId="0" borderId="102" xfId="0" applyFont="1" applyFill="1" applyBorder="1" applyAlignment="1">
      <alignment horizontal="left" vertical="center" wrapText="1"/>
    </xf>
    <xf numFmtId="0" fontId="4" fillId="0" borderId="66" xfId="0" applyFont="1" applyFill="1" applyBorder="1" applyAlignment="1">
      <alignment horizontal="left" vertical="center"/>
    </xf>
    <xf numFmtId="0" fontId="4" fillId="0" borderId="82" xfId="0" applyFont="1" applyFill="1" applyBorder="1" applyAlignment="1">
      <alignment horizontal="left" vertical="center"/>
    </xf>
    <xf numFmtId="0" fontId="4" fillId="0" borderId="84" xfId="0" applyFont="1" applyFill="1" applyBorder="1" applyAlignment="1">
      <alignment horizontal="left" vertical="center"/>
    </xf>
    <xf numFmtId="0" fontId="2" fillId="0" borderId="0" xfId="312" applyFont="1" applyAlignment="1">
      <alignment horizontal="center" vertical="top" wrapText="1"/>
      <protection/>
    </xf>
    <xf numFmtId="0" fontId="2" fillId="0" borderId="0" xfId="312" applyFont="1" applyAlignment="1">
      <alignment horizontal="center" vertical="top"/>
      <protection/>
    </xf>
    <xf numFmtId="0" fontId="0" fillId="0" borderId="24" xfId="312" applyBorder="1" applyAlignment="1">
      <alignment horizontal="right"/>
      <protection/>
    </xf>
    <xf numFmtId="10" fontId="0" fillId="0" borderId="24" xfId="332" applyNumberFormat="1" applyFont="1" applyBorder="1" applyAlignment="1">
      <alignment horizontal="center"/>
    </xf>
    <xf numFmtId="0" fontId="4" fillId="0" borderId="24" xfId="312" applyFont="1" applyBorder="1" applyAlignment="1">
      <alignment horizontal="center" vertical="center"/>
      <protection/>
    </xf>
    <xf numFmtId="10" fontId="4" fillId="0" borderId="24" xfId="332" applyNumberFormat="1" applyFont="1" applyBorder="1" applyAlignment="1">
      <alignment horizontal="center" vertical="center"/>
    </xf>
    <xf numFmtId="0" fontId="0" fillId="0" borderId="0" xfId="312" applyAlignment="1">
      <alignment horizontal="center" vertical="center"/>
      <protection/>
    </xf>
    <xf numFmtId="0" fontId="4" fillId="0" borderId="42" xfId="312" applyFont="1" applyBorder="1" applyAlignment="1">
      <alignment horizontal="center"/>
      <protection/>
    </xf>
    <xf numFmtId="0" fontId="4" fillId="0" borderId="81" xfId="312" applyFont="1" applyBorder="1" applyAlignment="1">
      <alignment horizontal="center"/>
      <protection/>
    </xf>
    <xf numFmtId="0" fontId="4" fillId="0" borderId="47" xfId="312" applyFont="1" applyBorder="1" applyAlignment="1">
      <alignment horizontal="left" vertical="center"/>
      <protection/>
    </xf>
    <xf numFmtId="0" fontId="4" fillId="0" borderId="25" xfId="312" applyFont="1" applyBorder="1" applyAlignment="1">
      <alignment horizontal="center" vertical="top"/>
      <protection/>
    </xf>
    <xf numFmtId="0" fontId="4" fillId="0" borderId="103" xfId="312" applyFont="1" applyBorder="1" applyAlignment="1">
      <alignment horizontal="center" vertical="top"/>
      <protection/>
    </xf>
    <xf numFmtId="10" fontId="0" fillId="0" borderId="24" xfId="312" applyNumberFormat="1" applyBorder="1" applyAlignment="1">
      <alignment horizontal="center"/>
      <protection/>
    </xf>
    <xf numFmtId="0" fontId="4" fillId="0" borderId="24" xfId="312" applyFont="1" applyBorder="1" applyAlignment="1">
      <alignment horizontal="center"/>
      <protection/>
    </xf>
    <xf numFmtId="2" fontId="4" fillId="0" borderId="24" xfId="312" applyNumberFormat="1" applyFont="1" applyBorder="1" applyAlignment="1">
      <alignment horizontal="center"/>
      <protection/>
    </xf>
    <xf numFmtId="0" fontId="39" fillId="0" borderId="26" xfId="312" applyFont="1" applyBorder="1" applyAlignment="1">
      <alignment horizontal="center" vertical="center" wrapText="1"/>
      <protection/>
    </xf>
    <xf numFmtId="0" fontId="69" fillId="0" borderId="24" xfId="0" applyFont="1" applyFill="1" applyBorder="1" applyAlignment="1">
      <alignment horizontal="left" vertical="center" wrapText="1"/>
    </xf>
    <xf numFmtId="0" fontId="3" fillId="0" borderId="48" xfId="0" applyFont="1" applyBorder="1" applyAlignment="1">
      <alignment horizontal="center" vertical="center"/>
    </xf>
    <xf numFmtId="0" fontId="4" fillId="2" borderId="26" xfId="312" applyFont="1" applyFill="1" applyBorder="1" applyAlignment="1">
      <alignment horizontal="center" vertical="center" wrapText="1"/>
      <protection/>
    </xf>
    <xf numFmtId="0" fontId="4" fillId="2" borderId="24" xfId="312" applyFont="1" applyFill="1" applyBorder="1" applyAlignment="1">
      <alignment horizontal="center" vertical="center" wrapText="1"/>
      <protection/>
    </xf>
    <xf numFmtId="0" fontId="4" fillId="2" borderId="104" xfId="312" applyFont="1" applyFill="1" applyBorder="1" applyAlignment="1">
      <alignment horizontal="center" vertical="center" wrapText="1"/>
      <protection/>
    </xf>
    <xf numFmtId="0" fontId="4" fillId="2" borderId="58" xfId="312" applyFont="1" applyFill="1" applyBorder="1" applyAlignment="1">
      <alignment horizontal="center" vertical="center" wrapText="1"/>
      <protection/>
    </xf>
    <xf numFmtId="0" fontId="3" fillId="0" borderId="40" xfId="0" applyFont="1" applyBorder="1" applyAlignment="1">
      <alignment horizontal="center" vertical="center"/>
    </xf>
    <xf numFmtId="0" fontId="0" fillId="0" borderId="34" xfId="0" applyBorder="1" applyAlignment="1">
      <alignment horizontal="center"/>
    </xf>
    <xf numFmtId="0" fontId="4" fillId="72" borderId="43" xfId="312" applyFont="1" applyFill="1" applyBorder="1" applyAlignment="1">
      <alignment horizontal="center" vertical="center"/>
      <protection/>
    </xf>
    <xf numFmtId="0" fontId="4" fillId="72" borderId="41" xfId="312" applyFont="1" applyFill="1" applyBorder="1" applyAlignment="1">
      <alignment horizontal="center" vertical="center"/>
      <protection/>
    </xf>
    <xf numFmtId="0" fontId="4" fillId="72" borderId="45" xfId="312" applyFont="1" applyFill="1" applyBorder="1" applyAlignment="1">
      <alignment horizontal="center" vertical="center"/>
      <protection/>
    </xf>
    <xf numFmtId="0" fontId="4" fillId="2" borderId="32" xfId="312" applyFont="1" applyFill="1" applyBorder="1" applyAlignment="1">
      <alignment horizontal="center" vertical="top" wrapText="1"/>
      <protection/>
    </xf>
    <xf numFmtId="0" fontId="4" fillId="2" borderId="34" xfId="312" applyFont="1" applyFill="1" applyBorder="1" applyAlignment="1">
      <alignment horizontal="center" vertical="top" wrapText="1"/>
      <protection/>
    </xf>
    <xf numFmtId="0" fontId="4" fillId="2" borderId="29" xfId="312" applyFont="1" applyFill="1" applyBorder="1" applyAlignment="1">
      <alignment horizontal="center" vertical="top" wrapText="1"/>
      <protection/>
    </xf>
    <xf numFmtId="0" fontId="4" fillId="2" borderId="31" xfId="312" applyFont="1" applyFill="1" applyBorder="1" applyAlignment="1">
      <alignment horizontal="center" vertical="top" wrapText="1"/>
      <protection/>
    </xf>
    <xf numFmtId="0" fontId="39" fillId="0" borderId="105" xfId="312" applyFont="1" applyBorder="1" applyAlignment="1">
      <alignment horizontal="center" vertical="center" wrapText="1"/>
      <protection/>
    </xf>
    <xf numFmtId="172" fontId="4" fillId="2" borderId="33" xfId="312" applyNumberFormat="1" applyFont="1" applyFill="1" applyBorder="1" applyAlignment="1">
      <alignment horizontal="center" vertical="center"/>
      <protection/>
    </xf>
    <xf numFmtId="172" fontId="4" fillId="2" borderId="30" xfId="312" applyNumberFormat="1" applyFont="1" applyFill="1" applyBorder="1" applyAlignment="1">
      <alignment horizontal="center" vertical="center"/>
      <protection/>
    </xf>
    <xf numFmtId="0" fontId="39" fillId="2" borderId="33" xfId="312" applyFont="1" applyFill="1" applyBorder="1" applyAlignment="1">
      <alignment horizontal="center" vertical="center"/>
      <protection/>
    </xf>
    <xf numFmtId="0" fontId="39" fillId="2" borderId="34" xfId="312" applyFont="1" applyFill="1" applyBorder="1" applyAlignment="1">
      <alignment horizontal="center" vertical="center"/>
      <protection/>
    </xf>
    <xf numFmtId="0" fontId="39" fillId="2" borderId="30" xfId="312" applyFont="1" applyFill="1" applyBorder="1" applyAlignment="1">
      <alignment horizontal="center" vertical="center"/>
      <protection/>
    </xf>
    <xf numFmtId="0" fontId="39" fillId="2" borderId="31" xfId="312" applyFont="1" applyFill="1" applyBorder="1" applyAlignment="1">
      <alignment horizontal="center" vertical="center"/>
      <protection/>
    </xf>
    <xf numFmtId="0" fontId="4" fillId="2" borderId="32" xfId="312" applyFont="1" applyFill="1" applyBorder="1" applyAlignment="1">
      <alignment horizontal="center" vertical="center"/>
      <protection/>
    </xf>
    <xf numFmtId="0" fontId="4" fillId="2" borderId="29" xfId="312" applyFont="1" applyFill="1" applyBorder="1" applyAlignment="1">
      <alignment horizontal="center" vertical="center"/>
      <protection/>
    </xf>
    <xf numFmtId="172" fontId="4" fillId="2" borderId="34" xfId="312" applyNumberFormat="1" applyFont="1" applyFill="1" applyBorder="1" applyAlignment="1">
      <alignment horizontal="center" vertical="center"/>
      <protection/>
    </xf>
    <xf numFmtId="0" fontId="4" fillId="2" borderId="31" xfId="312" applyFont="1" applyFill="1" applyBorder="1" applyAlignment="1">
      <alignment horizontal="center" vertical="center"/>
      <protection/>
    </xf>
    <xf numFmtId="0" fontId="29" fillId="78" borderId="32" xfId="0" applyFont="1" applyFill="1" applyBorder="1" applyAlignment="1" applyProtection="1">
      <alignment horizontal="center" vertical="center"/>
      <protection/>
    </xf>
    <xf numFmtId="0" fontId="29" fillId="78" borderId="33" xfId="0" applyFont="1" applyFill="1" applyBorder="1" applyAlignment="1" applyProtection="1">
      <alignment horizontal="center" vertical="center"/>
      <protection/>
    </xf>
    <xf numFmtId="0" fontId="29" fillId="78" borderId="34" xfId="0" applyFont="1" applyFill="1" applyBorder="1" applyAlignment="1" applyProtection="1">
      <alignment horizontal="center" vertical="center"/>
      <protection/>
    </xf>
    <xf numFmtId="0" fontId="29" fillId="73" borderId="0" xfId="0" applyFont="1" applyFill="1" applyBorder="1" applyAlignment="1" applyProtection="1">
      <alignment horizontal="center" vertical="center"/>
      <protection/>
    </xf>
    <xf numFmtId="0" fontId="29" fillId="73" borderId="35" xfId="0" applyFont="1" applyFill="1" applyBorder="1" applyAlignment="1" applyProtection="1">
      <alignment horizontal="center" vertical="center"/>
      <protection/>
    </xf>
    <xf numFmtId="0" fontId="4" fillId="0" borderId="84" xfId="0" applyFont="1" applyFill="1" applyBorder="1" applyAlignment="1">
      <alignment horizontal="left" vertical="center" wrapText="1"/>
    </xf>
  </cellXfs>
  <cellStyles count="408">
    <cellStyle name="Normal" xfId="0"/>
    <cellStyle name="20% - Accent1" xfId="15"/>
    <cellStyle name="20% - Accent2" xfId="16"/>
    <cellStyle name="20% - Accent3" xfId="17"/>
    <cellStyle name="20% - Accent4" xfId="18"/>
    <cellStyle name="20% - Accent5" xfId="19"/>
    <cellStyle name="20% - Accent6" xfId="20"/>
    <cellStyle name="20% - Ênfase1" xfId="21"/>
    <cellStyle name="20% - Ênfase1 1" xfId="22"/>
    <cellStyle name="20% - Ênfase1 2" xfId="23"/>
    <cellStyle name="20% - Ênfase1 3" xfId="24"/>
    <cellStyle name="20% - Ênfase1 4" xfId="25"/>
    <cellStyle name="20% - Ênfase1 5" xfId="26"/>
    <cellStyle name="20% - Ênfase1 6" xfId="27"/>
    <cellStyle name="20% - Ênfase1 7" xfId="28"/>
    <cellStyle name="20% - Ênfase2" xfId="29"/>
    <cellStyle name="20% - Ênfase2 1" xfId="30"/>
    <cellStyle name="20% - Ênfase2 2" xfId="31"/>
    <cellStyle name="20% - Ênfase2 3" xfId="32"/>
    <cellStyle name="20% - Ênfase2 4" xfId="33"/>
    <cellStyle name="20% - Ênfase2 5" xfId="34"/>
    <cellStyle name="20% - Ênfase2 6" xfId="35"/>
    <cellStyle name="20% - Ênfase2 7" xfId="36"/>
    <cellStyle name="20% - Ênfase3" xfId="37"/>
    <cellStyle name="20% - Ênfase3 1" xfId="38"/>
    <cellStyle name="20% - Ênfase3 2" xfId="39"/>
    <cellStyle name="20% - Ênfase3 3" xfId="40"/>
    <cellStyle name="20% - Ênfase3 4" xfId="41"/>
    <cellStyle name="20% - Ênfase3 5" xfId="42"/>
    <cellStyle name="20% - Ênfase3 6" xfId="43"/>
    <cellStyle name="20% - Ênfase3 7" xfId="44"/>
    <cellStyle name="20% - Ênfase4" xfId="45"/>
    <cellStyle name="20% - Ênfase4 1" xfId="46"/>
    <cellStyle name="20% - Ênfase4 2" xfId="47"/>
    <cellStyle name="20% - Ênfase4 3" xfId="48"/>
    <cellStyle name="20% - Ênfase4 4" xfId="49"/>
    <cellStyle name="20% - Ênfase4 5" xfId="50"/>
    <cellStyle name="20% - Ênfase4 6" xfId="51"/>
    <cellStyle name="20% - Ênfase4 7" xfId="52"/>
    <cellStyle name="20% - Ênfase5" xfId="53"/>
    <cellStyle name="20% - Ênfase5 1" xfId="54"/>
    <cellStyle name="20% - Ênfase5 2" xfId="55"/>
    <cellStyle name="20% - Ênfase5 3" xfId="56"/>
    <cellStyle name="20% - Ênfase5 4" xfId="57"/>
    <cellStyle name="20% - Ênfase5 5" xfId="58"/>
    <cellStyle name="20% - Ênfase5 6" xfId="59"/>
    <cellStyle name="20% - Ênfase5 7" xfId="60"/>
    <cellStyle name="20% - Ênfase6" xfId="61"/>
    <cellStyle name="20% - Ênfase6 1" xfId="62"/>
    <cellStyle name="20% - Ênfase6 2" xfId="63"/>
    <cellStyle name="20% - Ênfase6 3" xfId="64"/>
    <cellStyle name="20% - Ênfase6 4" xfId="65"/>
    <cellStyle name="20% - Ênfase6 5" xfId="66"/>
    <cellStyle name="20% - Ênfase6 6" xfId="67"/>
    <cellStyle name="20% - Ênfase6 7" xfId="68"/>
    <cellStyle name="40% - Accent1" xfId="69"/>
    <cellStyle name="40% - Accent2" xfId="70"/>
    <cellStyle name="40% - Accent3" xfId="71"/>
    <cellStyle name="40% - Accent4" xfId="72"/>
    <cellStyle name="40% - Accent5" xfId="73"/>
    <cellStyle name="40% - Accent6" xfId="74"/>
    <cellStyle name="40% - Ênfase1" xfId="75"/>
    <cellStyle name="40% - Ênfase1 1" xfId="76"/>
    <cellStyle name="40% - Ênfase1 2" xfId="77"/>
    <cellStyle name="40% - Ênfase1 3" xfId="78"/>
    <cellStyle name="40% - Ênfase1 4" xfId="79"/>
    <cellStyle name="40% - Ênfase1 5" xfId="80"/>
    <cellStyle name="40% - Ênfase1 6" xfId="81"/>
    <cellStyle name="40% - Ênfase1 7" xfId="82"/>
    <cellStyle name="40% - Ênfase2" xfId="83"/>
    <cellStyle name="40% - Ênfase2 1" xfId="84"/>
    <cellStyle name="40% - Ênfase2 2" xfId="85"/>
    <cellStyle name="40% - Ênfase2 3" xfId="86"/>
    <cellStyle name="40% - Ênfase2 4" xfId="87"/>
    <cellStyle name="40% - Ênfase2 5" xfId="88"/>
    <cellStyle name="40% - Ênfase2 6" xfId="89"/>
    <cellStyle name="40% - Ênfase2 7" xfId="90"/>
    <cellStyle name="40% - Ênfase3" xfId="91"/>
    <cellStyle name="40% - Ênfase3 1" xfId="92"/>
    <cellStyle name="40% - Ênfase3 2" xfId="93"/>
    <cellStyle name="40% - Ênfase3 3" xfId="94"/>
    <cellStyle name="40% - Ênfase3 4" xfId="95"/>
    <cellStyle name="40% - Ênfase3 5" xfId="96"/>
    <cellStyle name="40% - Ênfase3 6" xfId="97"/>
    <cellStyle name="40% - Ênfase3 7" xfId="98"/>
    <cellStyle name="40% - Ênfase4" xfId="99"/>
    <cellStyle name="40% - Ênfase4 1" xfId="100"/>
    <cellStyle name="40% - Ênfase4 2" xfId="101"/>
    <cellStyle name="40% - Ênfase4 3" xfId="102"/>
    <cellStyle name="40% - Ênfase4 4" xfId="103"/>
    <cellStyle name="40% - Ênfase4 5" xfId="104"/>
    <cellStyle name="40% - Ênfase4 6" xfId="105"/>
    <cellStyle name="40% - Ênfase4 7" xfId="106"/>
    <cellStyle name="40% - Ênfase5" xfId="107"/>
    <cellStyle name="40% - Ênfase5 1" xfId="108"/>
    <cellStyle name="40% - Ênfase5 2" xfId="109"/>
    <cellStyle name="40% - Ênfase5 3" xfId="110"/>
    <cellStyle name="40% - Ênfase5 4" xfId="111"/>
    <cellStyle name="40% - Ênfase5 5" xfId="112"/>
    <cellStyle name="40% - Ênfase5 6" xfId="113"/>
    <cellStyle name="40% - Ênfase5 7" xfId="114"/>
    <cellStyle name="40% - Ênfase6" xfId="115"/>
    <cellStyle name="40% - Ênfase6 1" xfId="116"/>
    <cellStyle name="40% - Ênfase6 2" xfId="117"/>
    <cellStyle name="40% - Ênfase6 3" xfId="118"/>
    <cellStyle name="40% - Ênfase6 4" xfId="119"/>
    <cellStyle name="40% - Ênfase6 5" xfId="120"/>
    <cellStyle name="40% - Ênfase6 6" xfId="121"/>
    <cellStyle name="40% - Ênfase6 7" xfId="122"/>
    <cellStyle name="60% - Accent1" xfId="123"/>
    <cellStyle name="60% - Accent2" xfId="124"/>
    <cellStyle name="60% - Accent3" xfId="125"/>
    <cellStyle name="60% - Accent4" xfId="126"/>
    <cellStyle name="60% - Accent5" xfId="127"/>
    <cellStyle name="60% - Accent6" xfId="128"/>
    <cellStyle name="60% - Ênfase1" xfId="129"/>
    <cellStyle name="60% - Ênfase1 1" xfId="130"/>
    <cellStyle name="60% - Ênfase1 2" xfId="131"/>
    <cellStyle name="60% - Ênfase1 3" xfId="132"/>
    <cellStyle name="60% - Ênfase1 4" xfId="133"/>
    <cellStyle name="60% - Ênfase1 5" xfId="134"/>
    <cellStyle name="60% - Ênfase1 6" xfId="135"/>
    <cellStyle name="60% - Ênfase1 7" xfId="136"/>
    <cellStyle name="60% - Ênfase2" xfId="137"/>
    <cellStyle name="60% - Ênfase2 1" xfId="138"/>
    <cellStyle name="60% - Ênfase2 2" xfId="139"/>
    <cellStyle name="60% - Ênfase2 3" xfId="140"/>
    <cellStyle name="60% - Ênfase2 4" xfId="141"/>
    <cellStyle name="60% - Ênfase2 5" xfId="142"/>
    <cellStyle name="60% - Ênfase2 6" xfId="143"/>
    <cellStyle name="60% - Ênfase2 7" xfId="144"/>
    <cellStyle name="60% - Ênfase3" xfId="145"/>
    <cellStyle name="60% - Ênfase3 1" xfId="146"/>
    <cellStyle name="60% - Ênfase3 2" xfId="147"/>
    <cellStyle name="60% - Ênfase3 3" xfId="148"/>
    <cellStyle name="60% - Ênfase3 4" xfId="149"/>
    <cellStyle name="60% - Ênfase3 5" xfId="150"/>
    <cellStyle name="60% - Ênfase3 6" xfId="151"/>
    <cellStyle name="60% - Ênfase3 7" xfId="152"/>
    <cellStyle name="60% - Ênfase4" xfId="153"/>
    <cellStyle name="60% - Ênfase4 1" xfId="154"/>
    <cellStyle name="60% - Ênfase4 2" xfId="155"/>
    <cellStyle name="60% - Ênfase4 3" xfId="156"/>
    <cellStyle name="60% - Ênfase4 4" xfId="157"/>
    <cellStyle name="60% - Ênfase4 5" xfId="158"/>
    <cellStyle name="60% - Ênfase4 6" xfId="159"/>
    <cellStyle name="60% - Ênfase4 7" xfId="160"/>
    <cellStyle name="60% - Ênfase5" xfId="161"/>
    <cellStyle name="60% - Ênfase5 1" xfId="162"/>
    <cellStyle name="60% - Ênfase5 2" xfId="163"/>
    <cellStyle name="60% - Ênfase5 3" xfId="164"/>
    <cellStyle name="60% - Ênfase5 4" xfId="165"/>
    <cellStyle name="60% - Ênfase5 5" xfId="166"/>
    <cellStyle name="60% - Ênfase5 6" xfId="167"/>
    <cellStyle name="60% - Ênfase5 7" xfId="168"/>
    <cellStyle name="60% - Ênfase6" xfId="169"/>
    <cellStyle name="60% - Ênfase6 1" xfId="170"/>
    <cellStyle name="60% - Ênfase6 2" xfId="171"/>
    <cellStyle name="60% - Ênfase6 3" xfId="172"/>
    <cellStyle name="60% - Ênfase6 4" xfId="173"/>
    <cellStyle name="60% - Ênfase6 5" xfId="174"/>
    <cellStyle name="60% - Ênfase6 6" xfId="175"/>
    <cellStyle name="60% - Ênfase6 7" xfId="176"/>
    <cellStyle name="Accent1" xfId="177"/>
    <cellStyle name="Accent2" xfId="178"/>
    <cellStyle name="Accent3" xfId="179"/>
    <cellStyle name="Accent4" xfId="180"/>
    <cellStyle name="Accent5" xfId="181"/>
    <cellStyle name="Accent6" xfId="182"/>
    <cellStyle name="Bad" xfId="183"/>
    <cellStyle name="Bom" xfId="184"/>
    <cellStyle name="Bom 1" xfId="185"/>
    <cellStyle name="Bom 2" xfId="186"/>
    <cellStyle name="Bom 3" xfId="187"/>
    <cellStyle name="Bom 4" xfId="188"/>
    <cellStyle name="Bom 5" xfId="189"/>
    <cellStyle name="Bom 6" xfId="190"/>
    <cellStyle name="Bom 7" xfId="191"/>
    <cellStyle name="Calculation" xfId="192"/>
    <cellStyle name="Cálculo" xfId="193"/>
    <cellStyle name="Cálculo 1" xfId="194"/>
    <cellStyle name="Cálculo 2" xfId="195"/>
    <cellStyle name="Cálculo 3" xfId="196"/>
    <cellStyle name="Cálculo 4" xfId="197"/>
    <cellStyle name="Cálculo 5" xfId="198"/>
    <cellStyle name="Cálculo 6" xfId="199"/>
    <cellStyle name="Cálculo 7" xfId="200"/>
    <cellStyle name="Célula de Verificação" xfId="201"/>
    <cellStyle name="Célula de Verificação 1" xfId="202"/>
    <cellStyle name="Célula de Verificação 2" xfId="203"/>
    <cellStyle name="Célula de Verificação 3" xfId="204"/>
    <cellStyle name="Célula de Verificação 4" xfId="205"/>
    <cellStyle name="Célula de Verificação 5" xfId="206"/>
    <cellStyle name="Célula de Verificação 6" xfId="207"/>
    <cellStyle name="Célula de Verificação 7" xfId="208"/>
    <cellStyle name="Célula Vinculada" xfId="209"/>
    <cellStyle name="Célula Vinculada 1" xfId="210"/>
    <cellStyle name="Célula Vinculada 2" xfId="211"/>
    <cellStyle name="Célula Vinculada 3" xfId="212"/>
    <cellStyle name="Célula Vinculada 4" xfId="213"/>
    <cellStyle name="Célula Vinculada 5" xfId="214"/>
    <cellStyle name="Célula Vinculada 6" xfId="215"/>
    <cellStyle name="Célula Vinculada 7" xfId="216"/>
    <cellStyle name="Check Cell" xfId="217"/>
    <cellStyle name="cotação" xfId="218"/>
    <cellStyle name="Ênfase1" xfId="219"/>
    <cellStyle name="Ênfase1 1" xfId="220"/>
    <cellStyle name="Ênfase1 2" xfId="221"/>
    <cellStyle name="Ênfase1 3" xfId="222"/>
    <cellStyle name="Ênfase1 4" xfId="223"/>
    <cellStyle name="Ênfase1 5" xfId="224"/>
    <cellStyle name="Ênfase1 6" xfId="225"/>
    <cellStyle name="Ênfase1 7" xfId="226"/>
    <cellStyle name="Ênfase2" xfId="227"/>
    <cellStyle name="Ênfase2 1" xfId="228"/>
    <cellStyle name="Ênfase2 2" xfId="229"/>
    <cellStyle name="Ênfase2 3" xfId="230"/>
    <cellStyle name="Ênfase2 4" xfId="231"/>
    <cellStyle name="Ênfase2 5" xfId="232"/>
    <cellStyle name="Ênfase2 6" xfId="233"/>
    <cellStyle name="Ênfase2 7" xfId="234"/>
    <cellStyle name="Ênfase3" xfId="235"/>
    <cellStyle name="Ênfase3 1" xfId="236"/>
    <cellStyle name="Ênfase3 2" xfId="237"/>
    <cellStyle name="Ênfase3 3" xfId="238"/>
    <cellStyle name="Ênfase3 4" xfId="239"/>
    <cellStyle name="Ênfase3 5" xfId="240"/>
    <cellStyle name="Ênfase3 6" xfId="241"/>
    <cellStyle name="Ênfase3 7" xfId="242"/>
    <cellStyle name="Ênfase4" xfId="243"/>
    <cellStyle name="Ênfase4 1" xfId="244"/>
    <cellStyle name="Ênfase4 2" xfId="245"/>
    <cellStyle name="Ênfase4 3" xfId="246"/>
    <cellStyle name="Ênfase4 4" xfId="247"/>
    <cellStyle name="Ênfase4 5" xfId="248"/>
    <cellStyle name="Ênfase4 6" xfId="249"/>
    <cellStyle name="Ênfase4 7" xfId="250"/>
    <cellStyle name="Ênfase5" xfId="251"/>
    <cellStyle name="Ênfase5 1" xfId="252"/>
    <cellStyle name="Ênfase5 2" xfId="253"/>
    <cellStyle name="Ênfase5 3" xfId="254"/>
    <cellStyle name="Ênfase5 4" xfId="255"/>
    <cellStyle name="Ênfase5 5" xfId="256"/>
    <cellStyle name="Ênfase5 6" xfId="257"/>
    <cellStyle name="Ênfase5 7" xfId="258"/>
    <cellStyle name="Ênfase6" xfId="259"/>
    <cellStyle name="Ênfase6 1" xfId="260"/>
    <cellStyle name="Ênfase6 2" xfId="261"/>
    <cellStyle name="Ênfase6 3" xfId="262"/>
    <cellStyle name="Ênfase6 4" xfId="263"/>
    <cellStyle name="Ênfase6 5" xfId="264"/>
    <cellStyle name="Ênfase6 6" xfId="265"/>
    <cellStyle name="Ênfase6 7" xfId="266"/>
    <cellStyle name="Entrada" xfId="267"/>
    <cellStyle name="Entrada 1" xfId="268"/>
    <cellStyle name="Entrada 2" xfId="269"/>
    <cellStyle name="Entrada 3" xfId="270"/>
    <cellStyle name="Entrada 4" xfId="271"/>
    <cellStyle name="Entrada 5" xfId="272"/>
    <cellStyle name="Entrada 6" xfId="273"/>
    <cellStyle name="Entrada 7" xfId="274"/>
    <cellStyle name="Excel Built-in Comma" xfId="275"/>
    <cellStyle name="Excel Built-in Normal" xfId="276"/>
    <cellStyle name="Excel Built-in Normal 2" xfId="277"/>
    <cellStyle name="Excel Built-in Normal 3" xfId="278"/>
    <cellStyle name="Explanatory Text" xfId="279"/>
    <cellStyle name="Good" xfId="280"/>
    <cellStyle name="Heading 1" xfId="281"/>
    <cellStyle name="Heading 2" xfId="282"/>
    <cellStyle name="Heading 3" xfId="283"/>
    <cellStyle name="Heading 4" xfId="284"/>
    <cellStyle name="Hiperlink 2" xfId="285"/>
    <cellStyle name="Incorreto" xfId="286"/>
    <cellStyle name="Incorreto 1" xfId="287"/>
    <cellStyle name="Incorreto 2" xfId="288"/>
    <cellStyle name="Incorreto 3" xfId="289"/>
    <cellStyle name="Incorreto 4" xfId="290"/>
    <cellStyle name="Incorreto 5" xfId="291"/>
    <cellStyle name="Incorreto 6" xfId="292"/>
    <cellStyle name="Incorreto 7" xfId="293"/>
    <cellStyle name="Input" xfId="294"/>
    <cellStyle name="Linked Cell" xfId="295"/>
    <cellStyle name="Currency" xfId="296"/>
    <cellStyle name="Currency [0]" xfId="297"/>
    <cellStyle name="Moeda 2" xfId="298"/>
    <cellStyle name="Moeda 3" xfId="299"/>
    <cellStyle name="Moeda 4" xfId="300"/>
    <cellStyle name="Moeda 5" xfId="301"/>
    <cellStyle name="Neutra" xfId="302"/>
    <cellStyle name="Neutra 1" xfId="303"/>
    <cellStyle name="Neutra 2" xfId="304"/>
    <cellStyle name="Neutra 3" xfId="305"/>
    <cellStyle name="Neutra 4" xfId="306"/>
    <cellStyle name="Neutra 5" xfId="307"/>
    <cellStyle name="Neutra 6" xfId="308"/>
    <cellStyle name="Neutra 7" xfId="309"/>
    <cellStyle name="Neutral" xfId="310"/>
    <cellStyle name="Normal 2" xfId="311"/>
    <cellStyle name="Normal 2 2" xfId="312"/>
    <cellStyle name="Normal 3" xfId="313"/>
    <cellStyle name="Normal 3 2" xfId="314"/>
    <cellStyle name="Normal 4" xfId="315"/>
    <cellStyle name="Normal 5" xfId="316"/>
    <cellStyle name="Normal 6" xfId="317"/>
    <cellStyle name="Nota" xfId="318"/>
    <cellStyle name="Nota 1" xfId="319"/>
    <cellStyle name="Nota 2" xfId="320"/>
    <cellStyle name="Nota 3" xfId="321"/>
    <cellStyle name="Nota 4" xfId="322"/>
    <cellStyle name="Nota 5" xfId="323"/>
    <cellStyle name="Nota 6" xfId="324"/>
    <cellStyle name="Nota 7" xfId="325"/>
    <cellStyle name="Note" xfId="326"/>
    <cellStyle name="Output" xfId="327"/>
    <cellStyle name="planilhas" xfId="328"/>
    <cellStyle name="Percent" xfId="329"/>
    <cellStyle name="Porcentagem 2" xfId="330"/>
    <cellStyle name="Porcentagem 2 2" xfId="331"/>
    <cellStyle name="Porcentagem 2 3" xfId="332"/>
    <cellStyle name="Porcentagem 3" xfId="333"/>
    <cellStyle name="Saída" xfId="334"/>
    <cellStyle name="Saída 1" xfId="335"/>
    <cellStyle name="Saída 2" xfId="336"/>
    <cellStyle name="Saída 3" xfId="337"/>
    <cellStyle name="Saída 4" xfId="338"/>
    <cellStyle name="Saída 5" xfId="339"/>
    <cellStyle name="Saída 6" xfId="340"/>
    <cellStyle name="Saída 7" xfId="341"/>
    <cellStyle name="Comma [0]" xfId="342"/>
    <cellStyle name="Separador de milhares 2" xfId="343"/>
    <cellStyle name="Separador de milhares 3" xfId="344"/>
    <cellStyle name="Separador de milhares 4" xfId="345"/>
    <cellStyle name="Separador de milhares 5" xfId="346"/>
    <cellStyle name="Texto de Aviso" xfId="347"/>
    <cellStyle name="Texto de Aviso 1" xfId="348"/>
    <cellStyle name="Texto de Aviso 2" xfId="349"/>
    <cellStyle name="Texto de Aviso 3" xfId="350"/>
    <cellStyle name="Texto de Aviso 4" xfId="351"/>
    <cellStyle name="Texto de Aviso 5" xfId="352"/>
    <cellStyle name="Texto de Aviso 6" xfId="353"/>
    <cellStyle name="Texto de Aviso 7" xfId="354"/>
    <cellStyle name="Texto Explicativo" xfId="355"/>
    <cellStyle name="Texto Explicativo 1" xfId="356"/>
    <cellStyle name="Texto Explicativo 2" xfId="357"/>
    <cellStyle name="Texto Explicativo 3" xfId="358"/>
    <cellStyle name="Texto Explicativo 4" xfId="359"/>
    <cellStyle name="Texto Explicativo 5" xfId="360"/>
    <cellStyle name="Texto Explicativo 6" xfId="361"/>
    <cellStyle name="Texto Explicativo 7" xfId="362"/>
    <cellStyle name="Title" xfId="363"/>
    <cellStyle name="Título" xfId="364"/>
    <cellStyle name="Título 1" xfId="365"/>
    <cellStyle name="Título 1 1" xfId="366"/>
    <cellStyle name="Título 1 1 1" xfId="367"/>
    <cellStyle name="Título 1 1_orçamento mocão_LICITAÇÃO-" xfId="368"/>
    <cellStyle name="Título 1 2" xfId="369"/>
    <cellStyle name="Título 1 3" xfId="370"/>
    <cellStyle name="Título 1 4" xfId="371"/>
    <cellStyle name="Título 1 5" xfId="372"/>
    <cellStyle name="Título 1 6" xfId="373"/>
    <cellStyle name="Título 1 7" xfId="374"/>
    <cellStyle name="Título 1 8" xfId="375"/>
    <cellStyle name="Título 10" xfId="376"/>
    <cellStyle name="Título 11" xfId="377"/>
    <cellStyle name="Título 2" xfId="378"/>
    <cellStyle name="Título 2 1" xfId="379"/>
    <cellStyle name="Título 2 2" xfId="380"/>
    <cellStyle name="Título 2 3" xfId="381"/>
    <cellStyle name="Título 2 4" xfId="382"/>
    <cellStyle name="Título 2 5" xfId="383"/>
    <cellStyle name="Título 2 6" xfId="384"/>
    <cellStyle name="Título 2 7" xfId="385"/>
    <cellStyle name="Título 3" xfId="386"/>
    <cellStyle name="Título 3 1" xfId="387"/>
    <cellStyle name="Título 3 2" xfId="388"/>
    <cellStyle name="Título 3 3" xfId="389"/>
    <cellStyle name="Título 3 4" xfId="390"/>
    <cellStyle name="Título 3 5" xfId="391"/>
    <cellStyle name="Título 3 6" xfId="392"/>
    <cellStyle name="Título 3 7" xfId="393"/>
    <cellStyle name="Título 4" xfId="394"/>
    <cellStyle name="Título 4 1" xfId="395"/>
    <cellStyle name="Título 4 2" xfId="396"/>
    <cellStyle name="Título 4 3" xfId="397"/>
    <cellStyle name="Título 4 4" xfId="398"/>
    <cellStyle name="Título 4 5" xfId="399"/>
    <cellStyle name="Título 4 6" xfId="400"/>
    <cellStyle name="Título 4 7" xfId="401"/>
    <cellStyle name="Título 5" xfId="402"/>
    <cellStyle name="Título 6" xfId="403"/>
    <cellStyle name="Título 7" xfId="404"/>
    <cellStyle name="Título 8" xfId="405"/>
    <cellStyle name="Título 9" xfId="406"/>
    <cellStyle name="Total" xfId="407"/>
    <cellStyle name="Total 1" xfId="408"/>
    <cellStyle name="Total 2" xfId="409"/>
    <cellStyle name="Total 3" xfId="410"/>
    <cellStyle name="Total 4" xfId="411"/>
    <cellStyle name="Total 5" xfId="412"/>
    <cellStyle name="Total 6" xfId="413"/>
    <cellStyle name="Total 7" xfId="414"/>
    <cellStyle name="Comma" xfId="415"/>
    <cellStyle name="Vírgula 2" xfId="416"/>
    <cellStyle name="Vírgula 2 2" xfId="417"/>
    <cellStyle name="Vírgula 2 3" xfId="418"/>
    <cellStyle name="Vírgula 3" xfId="419"/>
    <cellStyle name="Vírgula 4" xfId="420"/>
    <cellStyle name="Warning Text" xfId="4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2.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image" Target="../media/image1.w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1.wmf" /></Relationships>
</file>

<file path=xl/drawings/_rels/drawing6.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1009650</xdr:colOff>
      <xdr:row>295</xdr:row>
      <xdr:rowOff>114300</xdr:rowOff>
    </xdr:from>
    <xdr:ext cx="0" cy="171450"/>
    <xdr:sp fLocksText="0">
      <xdr:nvSpPr>
        <xdr:cNvPr id="1" name="CaixaDeTexto 1"/>
        <xdr:cNvSpPr txBox="1">
          <a:spLocks noChangeArrowheads="1"/>
        </xdr:cNvSpPr>
      </xdr:nvSpPr>
      <xdr:spPr>
        <a:xfrm>
          <a:off x="6057900" y="52320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oneCellAnchor>
    <xdr:from>
      <xdr:col>4</xdr:col>
      <xdr:colOff>1009650</xdr:colOff>
      <xdr:row>309</xdr:row>
      <xdr:rowOff>0</xdr:rowOff>
    </xdr:from>
    <xdr:ext cx="0" cy="171450"/>
    <xdr:sp fLocksText="0">
      <xdr:nvSpPr>
        <xdr:cNvPr id="2" name="CaixaDeTexto 2"/>
        <xdr:cNvSpPr txBox="1">
          <a:spLocks noChangeArrowheads="1"/>
        </xdr:cNvSpPr>
      </xdr:nvSpPr>
      <xdr:spPr>
        <a:xfrm>
          <a:off x="6057900" y="545687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oneCellAnchor>
    <xdr:from>
      <xdr:col>4</xdr:col>
      <xdr:colOff>1009650</xdr:colOff>
      <xdr:row>309</xdr:row>
      <xdr:rowOff>0</xdr:rowOff>
    </xdr:from>
    <xdr:ext cx="0" cy="171450"/>
    <xdr:sp fLocksText="0">
      <xdr:nvSpPr>
        <xdr:cNvPr id="3" name="CaixaDeTexto 3"/>
        <xdr:cNvSpPr txBox="1">
          <a:spLocks noChangeArrowheads="1"/>
        </xdr:cNvSpPr>
      </xdr:nvSpPr>
      <xdr:spPr>
        <a:xfrm>
          <a:off x="6057900" y="545687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oneCellAnchor>
    <xdr:from>
      <xdr:col>4</xdr:col>
      <xdr:colOff>1009650</xdr:colOff>
      <xdr:row>302</xdr:row>
      <xdr:rowOff>114300</xdr:rowOff>
    </xdr:from>
    <xdr:ext cx="0" cy="171450"/>
    <xdr:sp fLocksText="0">
      <xdr:nvSpPr>
        <xdr:cNvPr id="4" name="CaixaDeTexto 4"/>
        <xdr:cNvSpPr txBox="1">
          <a:spLocks noChangeArrowheads="1"/>
        </xdr:cNvSpPr>
      </xdr:nvSpPr>
      <xdr:spPr>
        <a:xfrm>
          <a:off x="6057900" y="5349240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oneCellAnchor>
    <xdr:from>
      <xdr:col>4</xdr:col>
      <xdr:colOff>1009650</xdr:colOff>
      <xdr:row>334</xdr:row>
      <xdr:rowOff>0</xdr:rowOff>
    </xdr:from>
    <xdr:ext cx="0" cy="171450"/>
    <xdr:sp fLocksText="0">
      <xdr:nvSpPr>
        <xdr:cNvPr id="5" name="CaixaDeTexto 5"/>
        <xdr:cNvSpPr txBox="1">
          <a:spLocks noChangeArrowheads="1"/>
        </xdr:cNvSpPr>
      </xdr:nvSpPr>
      <xdr:spPr>
        <a:xfrm>
          <a:off x="6057900" y="589692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oneCellAnchor>
    <xdr:from>
      <xdr:col>4</xdr:col>
      <xdr:colOff>1009650</xdr:colOff>
      <xdr:row>334</xdr:row>
      <xdr:rowOff>0</xdr:rowOff>
    </xdr:from>
    <xdr:ext cx="0" cy="171450"/>
    <xdr:sp fLocksText="0">
      <xdr:nvSpPr>
        <xdr:cNvPr id="6" name="CaixaDeTexto 6"/>
        <xdr:cNvSpPr txBox="1">
          <a:spLocks noChangeArrowheads="1"/>
        </xdr:cNvSpPr>
      </xdr:nvSpPr>
      <xdr:spPr>
        <a:xfrm>
          <a:off x="6057900" y="5896927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oneCellAnchor>
    <xdr:from>
      <xdr:col>4</xdr:col>
      <xdr:colOff>1009650</xdr:colOff>
      <xdr:row>295</xdr:row>
      <xdr:rowOff>114300</xdr:rowOff>
    </xdr:from>
    <xdr:ext cx="0" cy="171450"/>
    <xdr:sp fLocksText="0">
      <xdr:nvSpPr>
        <xdr:cNvPr id="7" name="CaixaDeTexto 8"/>
        <xdr:cNvSpPr txBox="1">
          <a:spLocks noChangeArrowheads="1"/>
        </xdr:cNvSpPr>
      </xdr:nvSpPr>
      <xdr:spPr>
        <a:xfrm>
          <a:off x="6057900" y="52320825"/>
          <a:ext cx="0" cy="171450"/>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twoCellAnchor>
    <xdr:from>
      <xdr:col>0</xdr:col>
      <xdr:colOff>219075</xdr:colOff>
      <xdr:row>0</xdr:row>
      <xdr:rowOff>66675</xdr:rowOff>
    </xdr:from>
    <xdr:to>
      <xdr:col>1</xdr:col>
      <xdr:colOff>466725</xdr:colOff>
      <xdr:row>0</xdr:row>
      <xdr:rowOff>1047750</xdr:rowOff>
    </xdr:to>
    <xdr:pic>
      <xdr:nvPicPr>
        <xdr:cNvPr id="8" name="Picture 1"/>
        <xdr:cNvPicPr preferRelativeResize="1">
          <a:picLocks noChangeAspect="1"/>
        </xdr:cNvPicPr>
      </xdr:nvPicPr>
      <xdr:blipFill>
        <a:blip r:embed="rId1"/>
        <a:stretch>
          <a:fillRect/>
        </a:stretch>
      </xdr:blipFill>
      <xdr:spPr>
        <a:xfrm>
          <a:off x="219075" y="66675"/>
          <a:ext cx="857250" cy="981075"/>
        </a:xfrm>
        <a:prstGeom prst="rect">
          <a:avLst/>
        </a:prstGeom>
        <a:noFill/>
        <a:ln w="9525" cmpd="sng">
          <a:noFill/>
        </a:ln>
      </xdr:spPr>
    </xdr:pic>
    <xdr:clientData/>
  </xdr:twoCellAnchor>
  <xdr:twoCellAnchor>
    <xdr:from>
      <xdr:col>0</xdr:col>
      <xdr:colOff>409575</xdr:colOff>
      <xdr:row>0</xdr:row>
      <xdr:rowOff>123825</xdr:rowOff>
    </xdr:from>
    <xdr:to>
      <xdr:col>6</xdr:col>
      <xdr:colOff>542925</xdr:colOff>
      <xdr:row>0</xdr:row>
      <xdr:rowOff>1019175</xdr:rowOff>
    </xdr:to>
    <xdr:sp>
      <xdr:nvSpPr>
        <xdr:cNvPr id="9" name="Text Box 6"/>
        <xdr:cNvSpPr txBox="1">
          <a:spLocks noChangeArrowheads="1"/>
        </xdr:cNvSpPr>
      </xdr:nvSpPr>
      <xdr:spPr>
        <a:xfrm>
          <a:off x="409575" y="123825"/>
          <a:ext cx="7829550" cy="895350"/>
        </a:xfrm>
        <a:prstGeom prst="rect">
          <a:avLst/>
        </a:prstGeom>
        <a:noFill/>
        <a:ln w="9525" cmpd="sng">
          <a:noFill/>
        </a:ln>
      </xdr:spPr>
      <xdr:txBody>
        <a:bodyPr vertOverflow="clip" wrap="square" lIns="27432" tIns="22860" rIns="0" bIns="0"/>
        <a:p>
          <a:pPr algn="l">
            <a:defRPr/>
          </a:pPr>
          <a:r>
            <a:rPr lang="en-US" cap="none" sz="1400" b="1" i="0" u="sng" baseline="0">
              <a:solidFill>
                <a:srgbClr val="000000"/>
              </a:solidFill>
              <a:latin typeface="Times New Roman"/>
              <a:ea typeface="Times New Roman"/>
              <a:cs typeface="Times New Roman"/>
            </a:rPr>
            <a:t>PREFEITURA MUNICIPAL DE CORAÇÃO DE JESUS</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ESTADO DE MINAS GERAIS
</a:t>
          </a:r>
          <a:r>
            <a:rPr lang="en-US" cap="none" sz="1400" b="0" i="0" u="none" baseline="0">
              <a:solidFill>
                <a:srgbClr val="000000"/>
              </a:solidFill>
              <a:latin typeface="Calibri"/>
              <a:ea typeface="Calibri"/>
              <a:cs typeface="Calibri"/>
            </a:rPr>
            <a:t> </a:t>
          </a:r>
        </a:p>
      </xdr:txBody>
    </xdr:sp>
    <xdr:clientData/>
  </xdr:twoCellAnchor>
  <xdr:oneCellAnchor>
    <xdr:from>
      <xdr:col>4</xdr:col>
      <xdr:colOff>1009650</xdr:colOff>
      <xdr:row>341</xdr:row>
      <xdr:rowOff>0</xdr:rowOff>
    </xdr:from>
    <xdr:ext cx="0" cy="171450"/>
    <xdr:sp fLocksText="0">
      <xdr:nvSpPr>
        <xdr:cNvPr id="10" name="CaixaDeTexto 11"/>
        <xdr:cNvSpPr txBox="1">
          <a:spLocks noChangeArrowheads="1"/>
        </xdr:cNvSpPr>
      </xdr:nvSpPr>
      <xdr:spPr>
        <a:xfrm>
          <a:off x="6057900" y="601408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oneCellAnchor>
    <xdr:from>
      <xdr:col>4</xdr:col>
      <xdr:colOff>1009650</xdr:colOff>
      <xdr:row>341</xdr:row>
      <xdr:rowOff>0</xdr:rowOff>
    </xdr:from>
    <xdr:ext cx="0" cy="171450"/>
    <xdr:sp fLocksText="0">
      <xdr:nvSpPr>
        <xdr:cNvPr id="11" name="CaixaDeTexto 12"/>
        <xdr:cNvSpPr txBox="1">
          <a:spLocks noChangeArrowheads="1"/>
        </xdr:cNvSpPr>
      </xdr:nvSpPr>
      <xdr:spPr>
        <a:xfrm>
          <a:off x="6057900" y="60140850"/>
          <a:ext cx="0" cy="171450"/>
        </a:xfrm>
        <a:prstGeom prst="rect">
          <a:avLst/>
        </a:prstGeom>
        <a:noFill/>
        <a:ln w="9525" cmpd="sng">
          <a:noFill/>
        </a:ln>
      </xdr:spPr>
      <xdr:txBody>
        <a:bodyPr vertOverflow="clip" wrap="square" lIns="0" tIns="0" rIns="0" bIns="0">
          <a:spAutoFit/>
        </a:bodyPr>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0</xdr:row>
      <xdr:rowOff>66675</xdr:rowOff>
    </xdr:from>
    <xdr:to>
      <xdr:col>7</xdr:col>
      <xdr:colOff>752475</xdr:colOff>
      <xdr:row>0</xdr:row>
      <xdr:rowOff>704850</xdr:rowOff>
    </xdr:to>
    <xdr:sp>
      <xdr:nvSpPr>
        <xdr:cNvPr id="1" name="Text Box 6"/>
        <xdr:cNvSpPr txBox="1">
          <a:spLocks noChangeArrowheads="1"/>
        </xdr:cNvSpPr>
      </xdr:nvSpPr>
      <xdr:spPr>
        <a:xfrm>
          <a:off x="209550" y="66675"/>
          <a:ext cx="7934325" cy="638175"/>
        </a:xfrm>
        <a:prstGeom prst="rect">
          <a:avLst/>
        </a:prstGeom>
        <a:noFill/>
        <a:ln w="9525" cmpd="sng">
          <a:noFill/>
        </a:ln>
      </xdr:spPr>
      <xdr:txBody>
        <a:bodyPr vertOverflow="clip" wrap="square" lIns="27432" tIns="22860" rIns="0" bIns="0"/>
        <a:p>
          <a:pPr algn="l">
            <a:defRPr/>
          </a:pPr>
          <a:r>
            <a:rPr lang="en-US" cap="none" sz="1200" b="1" i="0" u="sng" baseline="0">
              <a:solidFill>
                <a:srgbClr val="000000"/>
              </a:solidFill>
              <a:latin typeface="Times New Roman"/>
              <a:ea typeface="Times New Roman"/>
              <a:cs typeface="Times New Roman"/>
            </a:rPr>
            <a:t>PREFEITURA MUNICIPAL DE CORAÇÃO DE JESUS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ESTADO DE MINAS GERAIS
</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117</xdr:row>
      <xdr:rowOff>152400</xdr:rowOff>
    </xdr:from>
    <xdr:to>
      <xdr:col>8</xdr:col>
      <xdr:colOff>0</xdr:colOff>
      <xdr:row>121</xdr:row>
      <xdr:rowOff>57150</xdr:rowOff>
    </xdr:to>
    <xdr:sp>
      <xdr:nvSpPr>
        <xdr:cNvPr id="2" name="Text Box 7"/>
        <xdr:cNvSpPr txBox="1">
          <a:spLocks noChangeArrowheads="1"/>
        </xdr:cNvSpPr>
      </xdr:nvSpPr>
      <xdr:spPr>
        <a:xfrm flipV="1">
          <a:off x="47625" y="41786175"/>
          <a:ext cx="8162925" cy="4572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p>
      </xdr:txBody>
    </xdr:sp>
    <xdr:clientData/>
  </xdr:twoCellAnchor>
  <xdr:twoCellAnchor>
    <xdr:from>
      <xdr:col>0</xdr:col>
      <xdr:colOff>66675</xdr:colOff>
      <xdr:row>0</xdr:row>
      <xdr:rowOff>28575</xdr:rowOff>
    </xdr:from>
    <xdr:to>
      <xdr:col>1</xdr:col>
      <xdr:colOff>428625</xdr:colOff>
      <xdr:row>0</xdr:row>
      <xdr:rowOff>866775</xdr:rowOff>
    </xdr:to>
    <xdr:sp>
      <xdr:nvSpPr>
        <xdr:cNvPr id="3" name="Object 1" hidden="1"/>
        <xdr:cNvSpPr>
          <a:spLocks/>
        </xdr:cNvSpPr>
      </xdr:nvSpPr>
      <xdr:spPr>
        <a:xfrm>
          <a:off x="66675" y="28575"/>
          <a:ext cx="723900" cy="838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0</xdr:row>
      <xdr:rowOff>47625</xdr:rowOff>
    </xdr:from>
    <xdr:to>
      <xdr:col>2</xdr:col>
      <xdr:colOff>133350</xdr:colOff>
      <xdr:row>1</xdr:row>
      <xdr:rowOff>0</xdr:rowOff>
    </xdr:to>
    <xdr:pic>
      <xdr:nvPicPr>
        <xdr:cNvPr id="4" name="Picture 1"/>
        <xdr:cNvPicPr preferRelativeResize="1">
          <a:picLocks noChangeAspect="1"/>
        </xdr:cNvPicPr>
      </xdr:nvPicPr>
      <xdr:blipFill>
        <a:blip r:embed="rId1"/>
        <a:stretch>
          <a:fillRect/>
        </a:stretch>
      </xdr:blipFill>
      <xdr:spPr>
        <a:xfrm>
          <a:off x="476250" y="47625"/>
          <a:ext cx="733425"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933450</xdr:colOff>
      <xdr:row>0</xdr:row>
      <xdr:rowOff>28575</xdr:rowOff>
    </xdr:from>
    <xdr:to>
      <xdr:col>9</xdr:col>
      <xdr:colOff>438150</xdr:colOff>
      <xdr:row>0</xdr:row>
      <xdr:rowOff>809625</xdr:rowOff>
    </xdr:to>
    <xdr:sp>
      <xdr:nvSpPr>
        <xdr:cNvPr id="1" name="Text Box 6"/>
        <xdr:cNvSpPr txBox="1">
          <a:spLocks noChangeArrowheads="1"/>
        </xdr:cNvSpPr>
      </xdr:nvSpPr>
      <xdr:spPr>
        <a:xfrm>
          <a:off x="1638300" y="28575"/>
          <a:ext cx="8839200" cy="771525"/>
        </a:xfrm>
        <a:prstGeom prst="rect">
          <a:avLst/>
        </a:prstGeom>
        <a:noFill/>
        <a:ln w="9525" cmpd="sng">
          <a:noFill/>
        </a:ln>
      </xdr:spPr>
      <xdr:txBody>
        <a:bodyPr vertOverflow="clip" wrap="square" lIns="27432" tIns="22860" rIns="0" bIns="0"/>
        <a:p>
          <a:pPr algn="l">
            <a:defRPr/>
          </a:pPr>
          <a:r>
            <a:rPr lang="en-US" cap="none" sz="1400" b="1" i="0" u="sng" baseline="0">
              <a:solidFill>
                <a:srgbClr val="000000"/>
              </a:solidFill>
              <a:latin typeface="Times New Roman"/>
              <a:ea typeface="Times New Roman"/>
              <a:cs typeface="Times New Roman"/>
            </a:rPr>
            <a:t>PREFEITURA MUNICIPAL DE CORAÇÃO DE JESUS</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ESTADO DE MINAS GERAIS
</a:t>
          </a:r>
          <a:r>
            <a:rPr lang="en-US" cap="none" sz="1100" b="0" i="0" u="none" baseline="0">
              <a:solidFill>
                <a:srgbClr val="000000"/>
              </a:solidFill>
              <a:latin typeface="Calibri"/>
              <a:ea typeface="Calibri"/>
              <a:cs typeface="Calibri"/>
            </a:rPr>
            <a:t> </a:t>
          </a:r>
        </a:p>
      </xdr:txBody>
    </xdr:sp>
    <xdr:clientData/>
  </xdr:twoCellAnchor>
  <xdr:twoCellAnchor>
    <xdr:from>
      <xdr:col>0</xdr:col>
      <xdr:colOff>257175</xdr:colOff>
      <xdr:row>0</xdr:row>
      <xdr:rowOff>76200</xdr:rowOff>
    </xdr:from>
    <xdr:to>
      <xdr:col>1</xdr:col>
      <xdr:colOff>333375</xdr:colOff>
      <xdr:row>0</xdr:row>
      <xdr:rowOff>828675</xdr:rowOff>
    </xdr:to>
    <xdr:sp>
      <xdr:nvSpPr>
        <xdr:cNvPr id="2" name="Object 1" hidden="1"/>
        <xdr:cNvSpPr>
          <a:spLocks/>
        </xdr:cNvSpPr>
      </xdr:nvSpPr>
      <xdr:spPr>
        <a:xfrm>
          <a:off x="257175" y="76200"/>
          <a:ext cx="781050" cy="7524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257175</xdr:colOff>
      <xdr:row>0</xdr:row>
      <xdr:rowOff>76200</xdr:rowOff>
    </xdr:from>
    <xdr:to>
      <xdr:col>1</xdr:col>
      <xdr:colOff>333375</xdr:colOff>
      <xdr:row>0</xdr:row>
      <xdr:rowOff>828675</xdr:rowOff>
    </xdr:to>
    <xdr:pic>
      <xdr:nvPicPr>
        <xdr:cNvPr id="3" name="Picture 1"/>
        <xdr:cNvPicPr preferRelativeResize="1">
          <a:picLocks noChangeAspect="1"/>
        </xdr:cNvPicPr>
      </xdr:nvPicPr>
      <xdr:blipFill>
        <a:blip r:embed="rId1"/>
        <a:stretch>
          <a:fillRect/>
        </a:stretch>
      </xdr:blipFill>
      <xdr:spPr>
        <a:xfrm>
          <a:off x="257175" y="76200"/>
          <a:ext cx="78105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485775</xdr:colOff>
      <xdr:row>22</xdr:row>
      <xdr:rowOff>76200</xdr:rowOff>
    </xdr:from>
    <xdr:to>
      <xdr:col>6</xdr:col>
      <xdr:colOff>714375</xdr:colOff>
      <xdr:row>25</xdr:row>
      <xdr:rowOff>95250</xdr:rowOff>
    </xdr:to>
    <xdr:pic>
      <xdr:nvPicPr>
        <xdr:cNvPr id="1" name="volta_bt"/>
        <xdr:cNvPicPr preferRelativeResize="1">
          <a:picLocks noChangeAspect="1"/>
        </xdr:cNvPicPr>
      </xdr:nvPicPr>
      <xdr:blipFill>
        <a:blip r:embed="rId1"/>
        <a:stretch>
          <a:fillRect/>
        </a:stretch>
      </xdr:blipFill>
      <xdr:spPr>
        <a:xfrm>
          <a:off x="5934075" y="3467100"/>
          <a:ext cx="1076325" cy="4857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6</xdr:col>
      <xdr:colOff>752475</xdr:colOff>
      <xdr:row>0</xdr:row>
      <xdr:rowOff>704850</xdr:rowOff>
    </xdr:to>
    <xdr:sp>
      <xdr:nvSpPr>
        <xdr:cNvPr id="1" name="Text Box 6"/>
        <xdr:cNvSpPr txBox="1">
          <a:spLocks noChangeArrowheads="1"/>
        </xdr:cNvSpPr>
      </xdr:nvSpPr>
      <xdr:spPr>
        <a:xfrm>
          <a:off x="85725" y="66675"/>
          <a:ext cx="7400925" cy="638175"/>
        </a:xfrm>
        <a:prstGeom prst="rect">
          <a:avLst/>
        </a:prstGeom>
        <a:noFill/>
        <a:ln w="9525" cmpd="sng">
          <a:noFill/>
        </a:ln>
      </xdr:spPr>
      <xdr:txBody>
        <a:bodyPr vertOverflow="clip" wrap="square" lIns="27432" tIns="22860" rIns="0" bIns="0"/>
        <a:p>
          <a:pPr algn="l">
            <a:defRPr/>
          </a:pPr>
          <a:r>
            <a:rPr lang="en-US" cap="none" sz="1200" b="1" i="0" u="sng" baseline="0">
              <a:solidFill>
                <a:srgbClr val="000000"/>
              </a:solidFill>
              <a:latin typeface="Times New Roman"/>
              <a:ea typeface="Times New Roman"/>
              <a:cs typeface="Times New Roman"/>
            </a:rPr>
            <a:t>PREFEITURA MUNICIPAL DE CORAÇÃO DE JESUS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ESTADO DE MINAS GERAIS
</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26</xdr:row>
      <xdr:rowOff>152400</xdr:rowOff>
    </xdr:from>
    <xdr:to>
      <xdr:col>7</xdr:col>
      <xdr:colOff>0</xdr:colOff>
      <xdr:row>30</xdr:row>
      <xdr:rowOff>57150</xdr:rowOff>
    </xdr:to>
    <xdr:sp>
      <xdr:nvSpPr>
        <xdr:cNvPr id="2" name="Text Box 7"/>
        <xdr:cNvSpPr txBox="1">
          <a:spLocks noChangeArrowheads="1"/>
        </xdr:cNvSpPr>
      </xdr:nvSpPr>
      <xdr:spPr>
        <a:xfrm flipV="1">
          <a:off x="47625" y="5962650"/>
          <a:ext cx="7505700" cy="4572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p>
      </xdr:txBody>
    </xdr:sp>
    <xdr:clientData/>
  </xdr:twoCellAnchor>
  <xdr:twoCellAnchor>
    <xdr:from>
      <xdr:col>0</xdr:col>
      <xdr:colOff>66675</xdr:colOff>
      <xdr:row>0</xdr:row>
      <xdr:rowOff>28575</xdr:rowOff>
    </xdr:from>
    <xdr:to>
      <xdr:col>1</xdr:col>
      <xdr:colOff>428625</xdr:colOff>
      <xdr:row>0</xdr:row>
      <xdr:rowOff>866775</xdr:rowOff>
    </xdr:to>
    <xdr:sp>
      <xdr:nvSpPr>
        <xdr:cNvPr id="3" name="Object 1" hidden="1"/>
        <xdr:cNvSpPr>
          <a:spLocks/>
        </xdr:cNvSpPr>
      </xdr:nvSpPr>
      <xdr:spPr>
        <a:xfrm>
          <a:off x="66675" y="28575"/>
          <a:ext cx="723900" cy="838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0</xdr:row>
      <xdr:rowOff>28575</xdr:rowOff>
    </xdr:from>
    <xdr:to>
      <xdr:col>1</xdr:col>
      <xdr:colOff>428625</xdr:colOff>
      <xdr:row>0</xdr:row>
      <xdr:rowOff>866775</xdr:rowOff>
    </xdr:to>
    <xdr:pic>
      <xdr:nvPicPr>
        <xdr:cNvPr id="4" name="Picture 1"/>
        <xdr:cNvPicPr preferRelativeResize="1">
          <a:picLocks noChangeAspect="1"/>
        </xdr:cNvPicPr>
      </xdr:nvPicPr>
      <xdr:blipFill>
        <a:blip r:embed="rId1"/>
        <a:stretch>
          <a:fillRect/>
        </a:stretch>
      </xdr:blipFill>
      <xdr:spPr>
        <a:xfrm>
          <a:off x="66675" y="28575"/>
          <a:ext cx="723900"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6</xdr:col>
      <xdr:colOff>752475</xdr:colOff>
      <xdr:row>0</xdr:row>
      <xdr:rowOff>704850</xdr:rowOff>
    </xdr:to>
    <xdr:sp>
      <xdr:nvSpPr>
        <xdr:cNvPr id="1" name="Text Box 6"/>
        <xdr:cNvSpPr txBox="1">
          <a:spLocks noChangeArrowheads="1"/>
        </xdr:cNvSpPr>
      </xdr:nvSpPr>
      <xdr:spPr>
        <a:xfrm>
          <a:off x="85725" y="66675"/>
          <a:ext cx="7239000" cy="638175"/>
        </a:xfrm>
        <a:prstGeom prst="rect">
          <a:avLst/>
        </a:prstGeom>
        <a:noFill/>
        <a:ln w="9525" cmpd="sng">
          <a:noFill/>
        </a:ln>
      </xdr:spPr>
      <xdr:txBody>
        <a:bodyPr vertOverflow="clip" wrap="square" lIns="27432" tIns="22860" rIns="0" bIns="0"/>
        <a:p>
          <a:pPr algn="l">
            <a:defRPr/>
          </a:pPr>
          <a:r>
            <a:rPr lang="en-US" cap="none" sz="1200" b="1" i="0" u="sng" baseline="0">
              <a:solidFill>
                <a:srgbClr val="000000"/>
              </a:solidFill>
              <a:latin typeface="Times New Roman"/>
              <a:ea typeface="Times New Roman"/>
              <a:cs typeface="Times New Roman"/>
            </a:rPr>
            <a:t>PREFEITURA MUNICIPAL DE CORAÇÃO DE JESUS</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ESTADO DE MINAS GERAIS
</a:t>
          </a:r>
          <a:r>
            <a:rPr lang="en-US" cap="none" sz="1100" b="0" i="0" u="none" baseline="0">
              <a:solidFill>
                <a:srgbClr val="000000"/>
              </a:solidFill>
              <a:latin typeface="Calibri"/>
              <a:ea typeface="Calibri"/>
              <a:cs typeface="Calibri"/>
            </a:rPr>
            <a:t> </a:t>
          </a:r>
        </a:p>
      </xdr:txBody>
    </xdr:sp>
    <xdr:clientData/>
  </xdr:twoCellAnchor>
  <xdr:twoCellAnchor>
    <xdr:from>
      <xdr:col>0</xdr:col>
      <xdr:colOff>47625</xdr:colOff>
      <xdr:row>26</xdr:row>
      <xdr:rowOff>152400</xdr:rowOff>
    </xdr:from>
    <xdr:to>
      <xdr:col>7</xdr:col>
      <xdr:colOff>0</xdr:colOff>
      <xdr:row>30</xdr:row>
      <xdr:rowOff>57150</xdr:rowOff>
    </xdr:to>
    <xdr:sp>
      <xdr:nvSpPr>
        <xdr:cNvPr id="2" name="Text Box 7"/>
        <xdr:cNvSpPr txBox="1">
          <a:spLocks noChangeArrowheads="1"/>
        </xdr:cNvSpPr>
      </xdr:nvSpPr>
      <xdr:spPr>
        <a:xfrm flipV="1">
          <a:off x="47625" y="5848350"/>
          <a:ext cx="7343775" cy="457200"/>
        </a:xfrm>
        <a:prstGeom prst="rect">
          <a:avLst/>
        </a:prstGeom>
        <a:noFill/>
        <a:ln w="9525" cmpd="sng">
          <a:noFill/>
        </a:ln>
      </xdr:spPr>
      <xdr:txBody>
        <a:bodyPr vertOverflow="clip" wrap="square" lIns="27432" tIns="22860" rIns="27432" bIns="0"/>
        <a:p>
          <a:pPr algn="ctr">
            <a:defRPr/>
          </a:pPr>
          <a:r>
            <a:rPr lang="en-US" cap="none" sz="800" b="0" i="0" u="none" baseline="0">
              <a:solidFill>
                <a:srgbClr val="000000"/>
              </a:solidFill>
              <a:latin typeface="Arial"/>
              <a:ea typeface="Arial"/>
              <a:cs typeface="Arial"/>
            </a:rPr>
            <a:t> </a:t>
          </a:r>
        </a:p>
      </xdr:txBody>
    </xdr:sp>
    <xdr:clientData/>
  </xdr:twoCellAnchor>
  <xdr:twoCellAnchor>
    <xdr:from>
      <xdr:col>0</xdr:col>
      <xdr:colOff>66675</xdr:colOff>
      <xdr:row>0</xdr:row>
      <xdr:rowOff>28575</xdr:rowOff>
    </xdr:from>
    <xdr:to>
      <xdr:col>1</xdr:col>
      <xdr:colOff>428625</xdr:colOff>
      <xdr:row>0</xdr:row>
      <xdr:rowOff>866775</xdr:rowOff>
    </xdr:to>
    <xdr:sp>
      <xdr:nvSpPr>
        <xdr:cNvPr id="3" name="Object 1" hidden="1"/>
        <xdr:cNvSpPr>
          <a:spLocks/>
        </xdr:cNvSpPr>
      </xdr:nvSpPr>
      <xdr:spPr>
        <a:xfrm>
          <a:off x="66675" y="28575"/>
          <a:ext cx="723900" cy="8382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0</xdr:row>
      <xdr:rowOff>28575</xdr:rowOff>
    </xdr:from>
    <xdr:to>
      <xdr:col>1</xdr:col>
      <xdr:colOff>676275</xdr:colOff>
      <xdr:row>0</xdr:row>
      <xdr:rowOff>866775</xdr:rowOff>
    </xdr:to>
    <xdr:pic>
      <xdr:nvPicPr>
        <xdr:cNvPr id="4" name="Picture 1"/>
        <xdr:cNvPicPr preferRelativeResize="1">
          <a:picLocks noChangeAspect="1"/>
        </xdr:cNvPicPr>
      </xdr:nvPicPr>
      <xdr:blipFill>
        <a:blip r:embed="rId1"/>
        <a:stretch>
          <a:fillRect/>
        </a:stretch>
      </xdr:blipFill>
      <xdr:spPr>
        <a:xfrm>
          <a:off x="314325" y="28575"/>
          <a:ext cx="723900" cy="838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er\Desktop\Kiara\SESP\PLANILHA%20OR&#199;%20SES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sição BDI"/>
      <sheetName val="Planilha Orcamentária"/>
      <sheetName val="O Q foi PAGO"/>
      <sheetName val="Planilha"/>
      <sheetName val="Cronograma Físico-Financeiro"/>
      <sheetName val="O Q foi PAGO (2)"/>
      <sheetName val="Plan1"/>
    </sheetNames>
    <sheetDataSet>
      <sheetData sheetId="3">
        <row r="11">
          <cell r="C11" t="str">
            <v>SERVIÇOS PRELIMINARES</v>
          </cell>
        </row>
        <row r="29">
          <cell r="C29" t="str">
            <v>ALVENARIAS</v>
          </cell>
        </row>
        <row r="36">
          <cell r="C36" t="str">
            <v>ESQUADRIAS</v>
          </cell>
        </row>
        <row r="42">
          <cell r="C42" t="str">
            <v>COBERTURA</v>
          </cell>
        </row>
        <row r="49">
          <cell r="C49" t="str">
            <v>REVESTIMENTOS </v>
          </cell>
        </row>
        <row r="55">
          <cell r="C55" t="str">
            <v>PISO</v>
          </cell>
        </row>
        <row r="59">
          <cell r="C59" t="str">
            <v>PINTURA</v>
          </cell>
        </row>
        <row r="69">
          <cell r="C69" t="str">
            <v>INSTALAÇÕES HIDROSSANITÁRIAS</v>
          </cell>
        </row>
      </sheetData>
    </sheetDataSet>
  </externalBook>
</externalLink>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Q1051"/>
  <sheetViews>
    <sheetView zoomScale="82" zoomScaleNormal="82" zoomScalePageLayoutView="0" workbookViewId="0" topLeftCell="A700">
      <selection activeCell="J993" sqref="J993"/>
    </sheetView>
  </sheetViews>
  <sheetFormatPr defaultColWidth="9.140625" defaultRowHeight="12.75"/>
  <cols>
    <col min="1" max="1" width="9.140625" style="0" customWidth="1"/>
    <col min="2" max="2" width="31.421875" style="0" customWidth="1"/>
    <col min="3" max="3" width="16.421875" style="0" customWidth="1"/>
    <col min="4" max="4" width="18.7109375" style="0" bestFit="1" customWidth="1"/>
    <col min="5" max="5" width="22.7109375" style="0" customWidth="1"/>
    <col min="6" max="6" width="17.00390625" style="0" bestFit="1" customWidth="1"/>
    <col min="7" max="7" width="13.57421875" style="0" customWidth="1"/>
    <col min="8" max="8" width="9.140625" style="0" customWidth="1"/>
    <col min="10" max="10" width="10.00390625" style="0" bestFit="1" customWidth="1"/>
  </cols>
  <sheetData>
    <row r="1" spans="1:7" ht="89.25" customHeight="1" thickBot="1">
      <c r="A1" s="589"/>
      <c r="B1" s="590"/>
      <c r="C1" s="590"/>
      <c r="D1" s="590"/>
      <c r="E1" s="590"/>
      <c r="F1" s="590"/>
      <c r="G1" s="591"/>
    </row>
    <row r="2" spans="1:7" ht="13.5" thickBot="1">
      <c r="A2" s="592" t="s">
        <v>52</v>
      </c>
      <c r="B2" s="593"/>
      <c r="C2" s="593"/>
      <c r="D2" s="593"/>
      <c r="E2" s="593"/>
      <c r="F2" s="593"/>
      <c r="G2" s="594"/>
    </row>
    <row r="3" spans="1:7" ht="13.5" thickBot="1">
      <c r="A3" s="33"/>
      <c r="B3" s="34"/>
      <c r="C3" s="34"/>
      <c r="D3" s="489"/>
      <c r="E3" s="37"/>
      <c r="F3" s="34"/>
      <c r="G3" s="35"/>
    </row>
    <row r="4" spans="1:7" ht="13.5" thickBot="1">
      <c r="A4" s="79">
        <v>3</v>
      </c>
      <c r="B4" s="595" t="s">
        <v>173</v>
      </c>
      <c r="C4" s="596"/>
      <c r="D4" s="596"/>
      <c r="E4" s="596"/>
      <c r="F4" s="596"/>
      <c r="G4" s="597"/>
    </row>
    <row r="5" spans="1:7" ht="13.5" thickBot="1">
      <c r="A5" s="54"/>
      <c r="B5" s="52"/>
      <c r="C5" s="52"/>
      <c r="D5" s="52"/>
      <c r="E5" s="52"/>
      <c r="F5" s="52"/>
      <c r="G5" s="55"/>
    </row>
    <row r="6" spans="1:7" ht="31.5" customHeight="1" thickBot="1">
      <c r="A6" s="80" t="s">
        <v>482</v>
      </c>
      <c r="B6" s="565" t="str">
        <f>Planilha!C17</f>
        <v>DEMOLIÇÃO DE ALVENARIA DE BLOCO FURADO, DE FORMA MANUAL, SEM REAPROVEITAMENTO. AF_12/2017</v>
      </c>
      <c r="C6" s="566"/>
      <c r="D6" s="566"/>
      <c r="E6" s="567"/>
      <c r="F6" s="81">
        <f>G18</f>
        <v>7.41</v>
      </c>
      <c r="G6" s="80" t="s">
        <v>95</v>
      </c>
    </row>
    <row r="7" spans="1:7" ht="12.75">
      <c r="A7" s="33"/>
      <c r="B7" s="34"/>
      <c r="C7" s="34"/>
      <c r="D7" s="34"/>
      <c r="E7" s="45"/>
      <c r="F7" s="34"/>
      <c r="G7" s="35"/>
    </row>
    <row r="8" spans="1:7" ht="12.75">
      <c r="A8" s="33"/>
      <c r="B8" s="112" t="s">
        <v>20</v>
      </c>
      <c r="C8" s="112" t="s">
        <v>199</v>
      </c>
      <c r="D8" s="197" t="s">
        <v>220</v>
      </c>
      <c r="E8" s="112" t="s">
        <v>202</v>
      </c>
      <c r="F8" s="191" t="s">
        <v>204</v>
      </c>
      <c r="G8" s="398" t="s">
        <v>200</v>
      </c>
    </row>
    <row r="9" spans="1:7" ht="12.75">
      <c r="A9" s="33"/>
      <c r="B9" s="323" t="s">
        <v>414</v>
      </c>
      <c r="C9" s="106">
        <v>1.1</v>
      </c>
      <c r="D9" s="106">
        <v>3.2</v>
      </c>
      <c r="E9" s="106">
        <v>0.15</v>
      </c>
      <c r="F9" s="92"/>
      <c r="G9" s="399">
        <f>((C9*D9)-F9)*E9</f>
        <v>0.53</v>
      </c>
    </row>
    <row r="10" spans="1:7" ht="12.75">
      <c r="A10" s="33"/>
      <c r="B10" s="104" t="s">
        <v>203</v>
      </c>
      <c r="C10" s="106">
        <v>1.9</v>
      </c>
      <c r="D10" s="106">
        <v>2.4</v>
      </c>
      <c r="E10" s="106">
        <v>0.15</v>
      </c>
      <c r="F10" s="92">
        <v>0.12</v>
      </c>
      <c r="G10" s="399">
        <f>((C10*D10)-F10)*E10</f>
        <v>0.67</v>
      </c>
    </row>
    <row r="11" spans="1:7" ht="12.75">
      <c r="A11" s="33"/>
      <c r="B11" s="104" t="s">
        <v>205</v>
      </c>
      <c r="C11" s="106">
        <v>3</v>
      </c>
      <c r="D11" s="106">
        <v>2.9</v>
      </c>
      <c r="E11" s="106">
        <v>0.15</v>
      </c>
      <c r="F11" s="92">
        <v>0.25</v>
      </c>
      <c r="G11" s="399">
        <f>((C11*D11)-F11)*E11</f>
        <v>1.27</v>
      </c>
    </row>
    <row r="12" spans="1:7" ht="12.75">
      <c r="A12" s="33"/>
      <c r="B12" s="104" t="s">
        <v>206</v>
      </c>
      <c r="C12" s="106">
        <v>3</v>
      </c>
      <c r="D12" s="106">
        <v>3.2</v>
      </c>
      <c r="E12" s="106">
        <v>0.15</v>
      </c>
      <c r="F12" s="92">
        <v>0.25</v>
      </c>
      <c r="G12" s="399">
        <f>((C12*D12)-F12)*E12</f>
        <v>1.4</v>
      </c>
    </row>
    <row r="13" spans="1:7" ht="12.75">
      <c r="A13" s="33"/>
      <c r="B13" s="104" t="s">
        <v>236</v>
      </c>
      <c r="C13" s="106">
        <v>1.8</v>
      </c>
      <c r="D13" s="106">
        <v>2.45</v>
      </c>
      <c r="E13" s="106">
        <v>0.15</v>
      </c>
      <c r="F13" s="92">
        <v>0.18</v>
      </c>
      <c r="G13" s="399">
        <f>((C13*D13)-F13)*E13</f>
        <v>0.63</v>
      </c>
    </row>
    <row r="14" spans="1:7" ht="12.75">
      <c r="A14" s="33"/>
      <c r="B14" s="76" t="s">
        <v>237</v>
      </c>
      <c r="C14" s="230">
        <v>1.8</v>
      </c>
      <c r="D14" s="230">
        <v>1.2</v>
      </c>
      <c r="E14" s="230">
        <v>0.15</v>
      </c>
      <c r="F14" s="45"/>
      <c r="G14" s="400">
        <f>((C14*(D14*2)-F14)*E14)</f>
        <v>0.65</v>
      </c>
    </row>
    <row r="15" spans="1:7" ht="12.75">
      <c r="A15" s="33"/>
      <c r="B15" s="104" t="s">
        <v>201</v>
      </c>
      <c r="C15" s="106">
        <v>1.8</v>
      </c>
      <c r="D15" s="106">
        <v>2.1</v>
      </c>
      <c r="E15" s="106">
        <v>0.15</v>
      </c>
      <c r="F15" s="92">
        <v>0.25</v>
      </c>
      <c r="G15" s="400">
        <f>((C15*(D15*2)-F15)*E15)</f>
        <v>1.1</v>
      </c>
    </row>
    <row r="16" spans="1:7" ht="12.75">
      <c r="A16" s="33"/>
      <c r="B16" s="104" t="s">
        <v>216</v>
      </c>
      <c r="C16" s="106">
        <v>2.15</v>
      </c>
      <c r="D16" s="106">
        <v>0.9</v>
      </c>
      <c r="E16" s="106">
        <v>0.15</v>
      </c>
      <c r="F16" s="92"/>
      <c r="G16" s="399">
        <f>((C16*(D16*2)-F16)*E16)</f>
        <v>0.58</v>
      </c>
    </row>
    <row r="17" spans="1:7" ht="13.5" thickBot="1">
      <c r="A17" s="33"/>
      <c r="B17" s="104" t="s">
        <v>203</v>
      </c>
      <c r="C17" s="106">
        <v>2.15</v>
      </c>
      <c r="D17" s="106">
        <v>0.9</v>
      </c>
      <c r="E17" s="106">
        <v>0.15</v>
      </c>
      <c r="F17" s="86"/>
      <c r="G17" s="400">
        <f>((C17*(D17*2)-F17)*E17)</f>
        <v>0.58</v>
      </c>
    </row>
    <row r="18" spans="1:7" ht="13.5" thickBot="1">
      <c r="A18" s="33"/>
      <c r="B18" s="52"/>
      <c r="C18" s="52"/>
      <c r="D18" s="489"/>
      <c r="E18" s="37"/>
      <c r="F18" s="195" t="s">
        <v>2</v>
      </c>
      <c r="G18" s="277">
        <f>SUM(G9:G17)</f>
        <v>7.41</v>
      </c>
    </row>
    <row r="19" spans="1:7" ht="13.5" thickBot="1">
      <c r="A19" s="33"/>
      <c r="B19" s="34"/>
      <c r="C19" s="34"/>
      <c r="D19" s="489"/>
      <c r="E19" s="37"/>
      <c r="F19" s="489"/>
      <c r="G19" s="35"/>
    </row>
    <row r="20" spans="1:7" ht="13.5" thickBot="1">
      <c r="A20" s="80" t="s">
        <v>483</v>
      </c>
      <c r="B20" s="599" t="str">
        <f>Planilha!C18</f>
        <v>DEMOLIÇÃO DE RODAPÉ CERÂMICO, DE FORMA MANUAL, SEM REAPROVEITAMENTO. AF_12/2017</v>
      </c>
      <c r="C20" s="600"/>
      <c r="D20" s="600"/>
      <c r="E20" s="601"/>
      <c r="F20" s="80">
        <f>F39</f>
        <v>198.25</v>
      </c>
      <c r="G20" s="80" t="s">
        <v>25</v>
      </c>
    </row>
    <row r="21" spans="1:7" ht="12.75">
      <c r="A21" s="33"/>
      <c r="B21" s="45"/>
      <c r="C21" s="45"/>
      <c r="D21" s="34"/>
      <c r="E21" s="45"/>
      <c r="F21" s="34"/>
      <c r="G21" s="35"/>
    </row>
    <row r="22" spans="1:7" ht="12.75">
      <c r="A22" s="33"/>
      <c r="B22" s="191" t="s">
        <v>20</v>
      </c>
      <c r="C22" s="191" t="s">
        <v>234</v>
      </c>
      <c r="D22" s="191" t="s">
        <v>209</v>
      </c>
      <c r="E22" s="191" t="s">
        <v>393</v>
      </c>
      <c r="F22" s="191" t="s">
        <v>210</v>
      </c>
      <c r="G22" s="35"/>
    </row>
    <row r="23" spans="1:7" ht="12.75">
      <c r="A23" s="33"/>
      <c r="B23" s="92" t="s">
        <v>208</v>
      </c>
      <c r="C23" s="92">
        <v>2.45</v>
      </c>
      <c r="D23" s="92">
        <v>3.25</v>
      </c>
      <c r="E23" s="92"/>
      <c r="F23" s="208">
        <f>((C23+D23)*2)</f>
        <v>11.4</v>
      </c>
      <c r="G23" s="210"/>
    </row>
    <row r="24" spans="1:7" ht="12.75">
      <c r="A24" s="33"/>
      <c r="B24" s="92" t="s">
        <v>211</v>
      </c>
      <c r="C24" s="92">
        <v>1.75</v>
      </c>
      <c r="D24" s="92">
        <v>3.25</v>
      </c>
      <c r="E24" s="92"/>
      <c r="F24" s="208">
        <f aca="true" t="shared" si="0" ref="F24:F33">((C24+D24)*2)</f>
        <v>10</v>
      </c>
      <c r="G24" s="210"/>
    </row>
    <row r="25" spans="1:7" ht="12.75">
      <c r="A25" s="33"/>
      <c r="B25" s="92" t="s">
        <v>417</v>
      </c>
      <c r="C25" s="92">
        <v>1.8</v>
      </c>
      <c r="D25" s="92">
        <v>3.25</v>
      </c>
      <c r="E25" s="92"/>
      <c r="F25" s="208">
        <f t="shared" si="0"/>
        <v>10.1</v>
      </c>
      <c r="G25" s="210"/>
    </row>
    <row r="26" spans="1:7" ht="12.75">
      <c r="A26" s="33"/>
      <c r="B26" s="92" t="s">
        <v>213</v>
      </c>
      <c r="C26" s="92">
        <v>3.05</v>
      </c>
      <c r="D26" s="92">
        <v>3.25</v>
      </c>
      <c r="E26" s="92"/>
      <c r="F26" s="208">
        <f t="shared" si="0"/>
        <v>12.6</v>
      </c>
      <c r="G26" s="210"/>
    </row>
    <row r="27" spans="1:7" ht="12.75">
      <c r="A27" s="33"/>
      <c r="B27" s="92" t="s">
        <v>205</v>
      </c>
      <c r="C27" s="92">
        <v>2.9</v>
      </c>
      <c r="D27" s="92">
        <v>3.25</v>
      </c>
      <c r="E27" s="92"/>
      <c r="F27" s="208">
        <f>((C27+(D27*2)))</f>
        <v>9.4</v>
      </c>
      <c r="G27" s="210"/>
    </row>
    <row r="28" spans="1:7" ht="12.75">
      <c r="A28" s="33"/>
      <c r="B28" s="92" t="s">
        <v>206</v>
      </c>
      <c r="C28" s="92">
        <v>2.6</v>
      </c>
      <c r="D28" s="92">
        <v>4.4</v>
      </c>
      <c r="E28" s="92"/>
      <c r="F28" s="208">
        <f t="shared" si="0"/>
        <v>14</v>
      </c>
      <c r="G28" s="210"/>
    </row>
    <row r="29" spans="1:7" ht="12.75">
      <c r="A29" s="33"/>
      <c r="B29" s="92" t="s">
        <v>214</v>
      </c>
      <c r="C29" s="92">
        <v>3.3</v>
      </c>
      <c r="D29" s="92">
        <v>7.6</v>
      </c>
      <c r="E29" s="206">
        <v>1.6</v>
      </c>
      <c r="F29" s="208">
        <f>((C29+D29)*2-E29)</f>
        <v>20.2</v>
      </c>
      <c r="G29" s="210"/>
    </row>
    <row r="30" spans="1:7" ht="12.75">
      <c r="A30" s="33"/>
      <c r="B30" s="92" t="s">
        <v>207</v>
      </c>
      <c r="C30" s="92">
        <v>4.5</v>
      </c>
      <c r="D30" s="92">
        <v>2.6</v>
      </c>
      <c r="E30" s="92"/>
      <c r="F30" s="208">
        <f t="shared" si="0"/>
        <v>14.2</v>
      </c>
      <c r="G30" s="210"/>
    </row>
    <row r="31" spans="1:7" ht="12.75">
      <c r="A31" s="33"/>
      <c r="B31" s="92" t="s">
        <v>215</v>
      </c>
      <c r="C31" s="92">
        <v>3.05</v>
      </c>
      <c r="D31" s="92">
        <v>1.6</v>
      </c>
      <c r="E31" s="92"/>
      <c r="F31" s="208">
        <f t="shared" si="0"/>
        <v>9.3</v>
      </c>
      <c r="G31" s="210"/>
    </row>
    <row r="32" spans="1:7" ht="12.75">
      <c r="A32" s="33"/>
      <c r="B32" s="92" t="s">
        <v>216</v>
      </c>
      <c r="C32" s="92">
        <v>3.6</v>
      </c>
      <c r="D32" s="92">
        <v>4.15</v>
      </c>
      <c r="E32" s="92"/>
      <c r="F32" s="208">
        <f t="shared" si="0"/>
        <v>15.5</v>
      </c>
      <c r="G32" s="210"/>
    </row>
    <row r="33" spans="1:7" ht="12.75">
      <c r="A33" s="33"/>
      <c r="B33" s="92" t="s">
        <v>217</v>
      </c>
      <c r="C33" s="92">
        <v>1.2</v>
      </c>
      <c r="D33" s="92">
        <v>1.2</v>
      </c>
      <c r="E33" s="92"/>
      <c r="F33" s="208">
        <f t="shared" si="0"/>
        <v>4.8</v>
      </c>
      <c r="G33" s="210"/>
    </row>
    <row r="34" spans="1:7" ht="12.75">
      <c r="A34" s="33"/>
      <c r="B34" s="92" t="s">
        <v>201</v>
      </c>
      <c r="C34" s="92">
        <v>3.35</v>
      </c>
      <c r="D34" s="92">
        <v>4.3</v>
      </c>
      <c r="E34" s="92"/>
      <c r="F34" s="208">
        <f>((C34+D34+2.75))</f>
        <v>10.4</v>
      </c>
      <c r="G34" s="210"/>
    </row>
    <row r="35" spans="1:7" ht="12.75">
      <c r="A35" s="33"/>
      <c r="B35" s="92" t="s">
        <v>218</v>
      </c>
      <c r="C35" s="92">
        <v>9.15</v>
      </c>
      <c r="D35" s="92">
        <v>1.2</v>
      </c>
      <c r="E35" s="92"/>
      <c r="F35" s="208">
        <f>((C35*2)+D35)</f>
        <v>19.5</v>
      </c>
      <c r="G35" s="210"/>
    </row>
    <row r="36" spans="1:7" ht="12.75">
      <c r="A36" s="33"/>
      <c r="B36" s="86" t="s">
        <v>219</v>
      </c>
      <c r="C36" s="86">
        <v>3.35</v>
      </c>
      <c r="D36" s="86">
        <v>3.35</v>
      </c>
      <c r="E36" s="86"/>
      <c r="F36" s="208">
        <f>C36+D36+1.15</f>
        <v>7.85</v>
      </c>
      <c r="G36" s="210"/>
    </row>
    <row r="37" spans="1:7" ht="12.75">
      <c r="A37" s="194"/>
      <c r="B37" s="206" t="s">
        <v>232</v>
      </c>
      <c r="C37" s="206">
        <v>23.35</v>
      </c>
      <c r="D37" s="206"/>
      <c r="E37" s="206"/>
      <c r="F37" s="209">
        <f>((C37+D37))</f>
        <v>23.35</v>
      </c>
      <c r="G37" s="211"/>
    </row>
    <row r="38" spans="1:7" ht="13.5" thickBot="1">
      <c r="A38" s="194"/>
      <c r="B38" s="206" t="s">
        <v>233</v>
      </c>
      <c r="C38" s="206">
        <v>5.65</v>
      </c>
      <c r="D38" s="206"/>
      <c r="E38" s="207"/>
      <c r="F38" s="209">
        <f>((C38+D38))</f>
        <v>5.65</v>
      </c>
      <c r="G38" s="211"/>
    </row>
    <row r="39" spans="1:7" ht="13.5" thickBot="1">
      <c r="A39" s="33"/>
      <c r="B39" s="45"/>
      <c r="C39" s="34"/>
      <c r="D39" s="34"/>
      <c r="E39" s="78" t="s">
        <v>2</v>
      </c>
      <c r="F39" s="368">
        <f>SUM(F23:F38)</f>
        <v>198.25</v>
      </c>
      <c r="G39" s="35"/>
    </row>
    <row r="40" spans="1:7" ht="13.5" thickBot="1">
      <c r="A40" s="33"/>
      <c r="B40" s="45"/>
      <c r="C40" s="34"/>
      <c r="D40" s="34"/>
      <c r="E40" s="45"/>
      <c r="F40" s="34"/>
      <c r="G40" s="61"/>
    </row>
    <row r="41" spans="1:7" ht="13.5" thickBot="1">
      <c r="A41" s="80" t="s">
        <v>46</v>
      </c>
      <c r="B41" s="565" t="str">
        <f>Planilha!C19</f>
        <v>DEMOLIÇÃO DE REVESTIMENTO CERÂMICO, DE FORMA MANUAL, SEM REAPROVEITAMENTO. AF_12/2017</v>
      </c>
      <c r="C41" s="566"/>
      <c r="D41" s="566"/>
      <c r="E41" s="566"/>
      <c r="F41" s="81">
        <f>G75</f>
        <v>295.3</v>
      </c>
      <c r="G41" s="487" t="s">
        <v>19</v>
      </c>
    </row>
    <row r="42" spans="1:7" ht="12.75">
      <c r="A42" s="33"/>
      <c r="B42" s="34"/>
      <c r="C42" s="34"/>
      <c r="D42" s="34"/>
      <c r="E42" s="45"/>
      <c r="F42" s="34"/>
      <c r="G42" s="35"/>
    </row>
    <row r="43" spans="1:7" s="199" customFormat="1" ht="12.75">
      <c r="A43" s="33"/>
      <c r="B43" s="604" t="s">
        <v>57</v>
      </c>
      <c r="C43" s="604"/>
      <c r="D43" s="604"/>
      <c r="E43" s="604"/>
      <c r="F43" s="34"/>
      <c r="G43" s="35"/>
    </row>
    <row r="44" spans="1:7" s="199" customFormat="1" ht="12.75">
      <c r="A44" s="33"/>
      <c r="B44" s="112" t="s">
        <v>20</v>
      </c>
      <c r="C44" s="112" t="s">
        <v>21</v>
      </c>
      <c r="D44" s="112" t="s">
        <v>26</v>
      </c>
      <c r="E44" s="112" t="s">
        <v>23</v>
      </c>
      <c r="F44" s="34"/>
      <c r="G44" s="35"/>
    </row>
    <row r="45" spans="1:7" ht="12.75">
      <c r="A45" s="33"/>
      <c r="B45" s="104" t="s">
        <v>208</v>
      </c>
      <c r="C45" s="106">
        <v>2.45</v>
      </c>
      <c r="D45" s="106">
        <v>3.25</v>
      </c>
      <c r="E45" s="106">
        <f>C45*D45</f>
        <v>7.96</v>
      </c>
      <c r="F45" s="34"/>
      <c r="G45" s="35"/>
    </row>
    <row r="46" spans="1:7" ht="12.75">
      <c r="A46" s="33"/>
      <c r="B46" s="104" t="s">
        <v>211</v>
      </c>
      <c r="C46" s="106">
        <v>1.75</v>
      </c>
      <c r="D46" s="106">
        <v>3.25</v>
      </c>
      <c r="E46" s="106">
        <f aca="true" t="shared" si="1" ref="E46:E60">C46*D46</f>
        <v>5.69</v>
      </c>
      <c r="F46" s="34"/>
      <c r="G46" s="35"/>
    </row>
    <row r="47" spans="1:7" ht="12.75">
      <c r="A47" s="33"/>
      <c r="B47" s="92" t="s">
        <v>417</v>
      </c>
      <c r="C47" s="106">
        <v>1.8</v>
      </c>
      <c r="D47" s="106">
        <v>3.25</v>
      </c>
      <c r="E47" s="106">
        <f t="shared" si="1"/>
        <v>5.85</v>
      </c>
      <c r="F47" s="34"/>
      <c r="G47" s="35"/>
    </row>
    <row r="48" spans="1:7" ht="12.75">
      <c r="A48" s="33"/>
      <c r="B48" s="104" t="s">
        <v>221</v>
      </c>
      <c r="C48" s="106">
        <v>3.05</v>
      </c>
      <c r="D48" s="106">
        <v>3.25</v>
      </c>
      <c r="E48" s="106">
        <f>C48*D48</f>
        <v>9.91</v>
      </c>
      <c r="F48" s="34"/>
      <c r="G48" s="35"/>
    </row>
    <row r="49" spans="1:7" ht="12.75">
      <c r="A49" s="33"/>
      <c r="B49" s="104" t="s">
        <v>205</v>
      </c>
      <c r="C49" s="106">
        <v>2.9</v>
      </c>
      <c r="D49" s="106">
        <v>3.25</v>
      </c>
      <c r="E49" s="106">
        <f t="shared" si="1"/>
        <v>9.43</v>
      </c>
      <c r="F49" s="34"/>
      <c r="G49" s="35"/>
    </row>
    <row r="50" spans="1:7" ht="12.75">
      <c r="A50" s="33"/>
      <c r="B50" s="92" t="s">
        <v>206</v>
      </c>
      <c r="C50" s="92">
        <v>2.6</v>
      </c>
      <c r="D50" s="92">
        <v>6.1</v>
      </c>
      <c r="E50" s="110">
        <f t="shared" si="1"/>
        <v>15.86</v>
      </c>
      <c r="F50" s="34"/>
      <c r="G50" s="35"/>
    </row>
    <row r="51" spans="1:7" ht="12.75">
      <c r="A51" s="33"/>
      <c r="B51" s="92" t="s">
        <v>413</v>
      </c>
      <c r="C51" s="92">
        <v>3.3</v>
      </c>
      <c r="D51" s="92">
        <v>1.45</v>
      </c>
      <c r="E51" s="110">
        <f t="shared" si="1"/>
        <v>4.79</v>
      </c>
      <c r="F51" s="34"/>
      <c r="G51" s="35"/>
    </row>
    <row r="52" spans="1:7" ht="12.75">
      <c r="A52" s="33"/>
      <c r="B52" s="92" t="s">
        <v>222</v>
      </c>
      <c r="C52" s="92">
        <v>3.3</v>
      </c>
      <c r="D52" s="92">
        <v>7.6</v>
      </c>
      <c r="E52" s="110">
        <f t="shared" si="1"/>
        <v>25.08</v>
      </c>
      <c r="F52" s="34"/>
      <c r="G52" s="35"/>
    </row>
    <row r="53" spans="1:7" ht="12.75">
      <c r="A53" s="33"/>
      <c r="B53" s="92" t="s">
        <v>207</v>
      </c>
      <c r="C53" s="92">
        <v>4.5</v>
      </c>
      <c r="D53" s="92">
        <v>2.6</v>
      </c>
      <c r="E53" s="110">
        <f t="shared" si="1"/>
        <v>11.7</v>
      </c>
      <c r="F53" s="34"/>
      <c r="G53" s="35"/>
    </row>
    <row r="54" spans="1:7" ht="12.75">
      <c r="A54" s="33"/>
      <c r="B54" s="92" t="s">
        <v>415</v>
      </c>
      <c r="C54" s="92">
        <v>1.3</v>
      </c>
      <c r="D54" s="92">
        <v>2.6</v>
      </c>
      <c r="E54" s="110">
        <f>C54*D54</f>
        <v>3.38</v>
      </c>
      <c r="F54" s="34"/>
      <c r="G54" s="35"/>
    </row>
    <row r="55" spans="1:7" ht="12.75">
      <c r="A55" s="33"/>
      <c r="B55" s="92" t="s">
        <v>201</v>
      </c>
      <c r="C55" s="92">
        <v>3.35</v>
      </c>
      <c r="D55" s="92">
        <v>2.75</v>
      </c>
      <c r="E55" s="110">
        <f t="shared" si="1"/>
        <v>9.21</v>
      </c>
      <c r="F55" s="34"/>
      <c r="G55" s="35"/>
    </row>
    <row r="56" spans="1:7" ht="12.75">
      <c r="A56" s="33"/>
      <c r="B56" s="92" t="s">
        <v>223</v>
      </c>
      <c r="C56" s="92">
        <v>9.15</v>
      </c>
      <c r="D56" s="92">
        <v>1.2</v>
      </c>
      <c r="E56" s="110">
        <f t="shared" si="1"/>
        <v>10.98</v>
      </c>
      <c r="F56" s="34"/>
      <c r="G56" s="35"/>
    </row>
    <row r="57" spans="1:7" ht="12.75">
      <c r="A57" s="33"/>
      <c r="B57" s="92" t="s">
        <v>224</v>
      </c>
      <c r="C57" s="92">
        <v>6.7</v>
      </c>
      <c r="D57" s="92">
        <v>2.75</v>
      </c>
      <c r="E57" s="110">
        <f t="shared" si="1"/>
        <v>18.43</v>
      </c>
      <c r="F57" s="34"/>
      <c r="G57" s="35"/>
    </row>
    <row r="58" spans="1:7" ht="12.75">
      <c r="A58" s="33"/>
      <c r="B58" s="92" t="s">
        <v>215</v>
      </c>
      <c r="C58" s="92">
        <v>3.05</v>
      </c>
      <c r="D58" s="92">
        <v>1.6</v>
      </c>
      <c r="E58" s="110">
        <f t="shared" si="1"/>
        <v>4.88</v>
      </c>
      <c r="F58" s="34"/>
      <c r="G58" s="35"/>
    </row>
    <row r="59" spans="1:7" ht="12.75">
      <c r="A59" s="33"/>
      <c r="B59" s="92" t="s">
        <v>225</v>
      </c>
      <c r="C59" s="92">
        <v>3.05</v>
      </c>
      <c r="D59" s="92">
        <v>2.4</v>
      </c>
      <c r="E59" s="110">
        <f>C59*D59</f>
        <v>7.32</v>
      </c>
      <c r="F59" s="34"/>
      <c r="G59" s="35"/>
    </row>
    <row r="60" spans="1:7" ht="12.75">
      <c r="A60" s="33"/>
      <c r="B60" s="92" t="s">
        <v>216</v>
      </c>
      <c r="C60" s="92">
        <v>3.6</v>
      </c>
      <c r="D60" s="92">
        <v>4.15</v>
      </c>
      <c r="E60" s="110">
        <f t="shared" si="1"/>
        <v>14.94</v>
      </c>
      <c r="F60" s="34"/>
      <c r="G60" s="35"/>
    </row>
    <row r="61" spans="1:7" ht="12.75">
      <c r="A61" s="33"/>
      <c r="B61" s="92" t="s">
        <v>232</v>
      </c>
      <c r="C61" s="92">
        <v>23.35</v>
      </c>
      <c r="D61" s="92">
        <v>1.7</v>
      </c>
      <c r="E61" s="110">
        <f>C61*D61</f>
        <v>39.7</v>
      </c>
      <c r="F61" s="34"/>
      <c r="G61" s="35"/>
    </row>
    <row r="62" spans="1:7" ht="13.5" thickBot="1">
      <c r="A62" s="33"/>
      <c r="B62" s="92" t="s">
        <v>233</v>
      </c>
      <c r="C62" s="92">
        <v>2.3</v>
      </c>
      <c r="D62" s="86">
        <v>1.2</v>
      </c>
      <c r="E62" s="204">
        <f>C62*D62</f>
        <v>2.76</v>
      </c>
      <c r="F62" s="34"/>
      <c r="G62" s="35"/>
    </row>
    <row r="63" spans="1:7" ht="13.5" thickBot="1">
      <c r="A63" s="33"/>
      <c r="B63" s="45"/>
      <c r="C63" s="45"/>
      <c r="D63" s="195" t="s">
        <v>62</v>
      </c>
      <c r="E63" s="205">
        <f>SUM(E45:E62)</f>
        <v>207.87</v>
      </c>
      <c r="F63" s="34"/>
      <c r="G63" s="35"/>
    </row>
    <row r="64" spans="1:7" ht="12.75">
      <c r="A64" s="33"/>
      <c r="B64" s="45"/>
      <c r="C64" s="45"/>
      <c r="D64" s="45"/>
      <c r="E64" s="198"/>
      <c r="F64" s="34"/>
      <c r="G64" s="35"/>
    </row>
    <row r="65" spans="1:7" ht="12.75">
      <c r="A65" s="33"/>
      <c r="B65" s="45"/>
      <c r="C65" s="45"/>
      <c r="D65" s="45"/>
      <c r="E65" s="198"/>
      <c r="F65" s="34"/>
      <c r="G65" s="35"/>
    </row>
    <row r="66" spans="1:7" ht="12.75">
      <c r="A66" s="33"/>
      <c r="B66" s="576" t="s">
        <v>229</v>
      </c>
      <c r="C66" s="577"/>
      <c r="D66" s="577"/>
      <c r="E66" s="577"/>
      <c r="F66" s="577"/>
      <c r="G66" s="578"/>
    </row>
    <row r="67" spans="1:7" ht="12.75">
      <c r="A67" s="33"/>
      <c r="B67" s="191" t="s">
        <v>20</v>
      </c>
      <c r="C67" s="370" t="s">
        <v>227</v>
      </c>
      <c r="D67" s="370" t="s">
        <v>220</v>
      </c>
      <c r="E67" s="192" t="s">
        <v>231</v>
      </c>
      <c r="F67" s="202" t="s">
        <v>230</v>
      </c>
      <c r="G67" s="401" t="s">
        <v>228</v>
      </c>
    </row>
    <row r="68" spans="1:7" ht="12.75">
      <c r="A68" s="33"/>
      <c r="B68" s="92" t="s">
        <v>413</v>
      </c>
      <c r="C68" s="206">
        <v>3.3</v>
      </c>
      <c r="D68" s="371">
        <v>1.35</v>
      </c>
      <c r="E68" s="276">
        <v>1.8</v>
      </c>
      <c r="F68" s="203">
        <v>1.68</v>
      </c>
      <c r="G68" s="402">
        <f aca="true" t="shared" si="2" ref="G68:G73">(((C68*2)+(D68*2))*E68)-F68</f>
        <v>15.06</v>
      </c>
    </row>
    <row r="69" spans="1:7" ht="12.75">
      <c r="A69" s="33"/>
      <c r="B69" s="92" t="s">
        <v>416</v>
      </c>
      <c r="C69" s="206">
        <v>1.3</v>
      </c>
      <c r="D69" s="372">
        <v>2.6</v>
      </c>
      <c r="E69" s="276">
        <v>1.8</v>
      </c>
      <c r="F69" s="203"/>
      <c r="G69" s="402">
        <f t="shared" si="2"/>
        <v>14.04</v>
      </c>
    </row>
    <row r="70" spans="1:7" ht="12.75">
      <c r="A70" s="33"/>
      <c r="B70" s="92" t="s">
        <v>203</v>
      </c>
      <c r="C70" s="206">
        <v>3.05</v>
      </c>
      <c r="D70" s="244">
        <v>2.4</v>
      </c>
      <c r="E70" s="276">
        <f>E68</f>
        <v>1.8</v>
      </c>
      <c r="F70" s="203">
        <v>1.92</v>
      </c>
      <c r="G70" s="403">
        <f t="shared" si="2"/>
        <v>17.7</v>
      </c>
    </row>
    <row r="71" spans="1:7" ht="12.75">
      <c r="A71" s="33"/>
      <c r="B71" s="92" t="s">
        <v>205</v>
      </c>
      <c r="C71" s="206">
        <v>2.9</v>
      </c>
      <c r="D71" s="206"/>
      <c r="E71" s="244">
        <v>0.35</v>
      </c>
      <c r="F71" s="203"/>
      <c r="G71" s="403">
        <f t="shared" si="2"/>
        <v>2.03</v>
      </c>
    </row>
    <row r="72" spans="1:7" ht="12.75">
      <c r="A72" s="33"/>
      <c r="B72" s="92" t="s">
        <v>226</v>
      </c>
      <c r="C72" s="206">
        <v>2.05</v>
      </c>
      <c r="D72" s="206">
        <v>4.15</v>
      </c>
      <c r="E72" s="244">
        <v>1.8</v>
      </c>
      <c r="F72" s="203">
        <v>1.68</v>
      </c>
      <c r="G72" s="403">
        <f t="shared" si="2"/>
        <v>20.64</v>
      </c>
    </row>
    <row r="73" spans="1:7" ht="13.5" thickBot="1">
      <c r="A73" s="33"/>
      <c r="B73" s="92" t="s">
        <v>208</v>
      </c>
      <c r="C73" s="206">
        <v>2.45</v>
      </c>
      <c r="D73" s="206">
        <v>3.25</v>
      </c>
      <c r="E73" s="244">
        <v>1.8</v>
      </c>
      <c r="F73" s="369">
        <v>2.56</v>
      </c>
      <c r="G73" s="403">
        <f t="shared" si="2"/>
        <v>17.96</v>
      </c>
    </row>
    <row r="74" spans="1:7" ht="13.5" thickBot="1">
      <c r="A74" s="33"/>
      <c r="B74" s="45"/>
      <c r="C74" s="45"/>
      <c r="D74" s="45"/>
      <c r="E74" s="198"/>
      <c r="F74" s="195" t="s">
        <v>62</v>
      </c>
      <c r="G74" s="195">
        <f>SUM(G68:G73)</f>
        <v>87.43</v>
      </c>
    </row>
    <row r="75" spans="1:7" ht="13.5" thickBot="1">
      <c r="A75" s="33"/>
      <c r="B75" s="45"/>
      <c r="C75" s="45"/>
      <c r="D75" s="45"/>
      <c r="E75" s="198"/>
      <c r="F75" s="195" t="s">
        <v>2</v>
      </c>
      <c r="G75" s="205">
        <f>SUM(E63+G74)</f>
        <v>295.3</v>
      </c>
    </row>
    <row r="76" spans="1:7" ht="13.5" thickBot="1">
      <c r="A76" s="33"/>
      <c r="B76" s="45"/>
      <c r="C76" s="45"/>
      <c r="D76" s="45"/>
      <c r="E76" s="198"/>
      <c r="F76" s="52"/>
      <c r="G76" s="35"/>
    </row>
    <row r="77" spans="1:7" ht="13.5" thickBot="1">
      <c r="A77" s="80" t="s">
        <v>47</v>
      </c>
      <c r="B77" s="565" t="str">
        <f>Planilha!C20</f>
        <v>REMOÇÃO DE JANELAS, DE FORMA MANUAL, SEM REAPROVEITAMENTO. AF_12/2017</v>
      </c>
      <c r="C77" s="566"/>
      <c r="D77" s="566"/>
      <c r="E77" s="567"/>
      <c r="F77" s="81">
        <f>F84</f>
        <v>7.32</v>
      </c>
      <c r="G77" s="80" t="s">
        <v>19</v>
      </c>
    </row>
    <row r="78" spans="1:7" ht="12.75">
      <c r="A78" s="33"/>
      <c r="B78" s="34"/>
      <c r="C78" s="34"/>
      <c r="D78" s="34"/>
      <c r="E78" s="45"/>
      <c r="F78" s="34"/>
      <c r="G78" s="35"/>
    </row>
    <row r="79" spans="1:7" ht="12.75">
      <c r="A79" s="33"/>
      <c r="B79" s="112" t="s">
        <v>20</v>
      </c>
      <c r="C79" s="112" t="s">
        <v>21</v>
      </c>
      <c r="D79" s="112" t="s">
        <v>22</v>
      </c>
      <c r="E79" s="214" t="s">
        <v>24</v>
      </c>
      <c r="F79" s="112" t="s">
        <v>23</v>
      </c>
      <c r="G79" s="35"/>
    </row>
    <row r="80" spans="1:14" ht="12.75">
      <c r="A80" s="33"/>
      <c r="B80" s="104" t="s">
        <v>205</v>
      </c>
      <c r="C80" s="106">
        <v>1.4</v>
      </c>
      <c r="D80" s="106">
        <v>1.2</v>
      </c>
      <c r="E80" s="203">
        <v>1</v>
      </c>
      <c r="F80" s="106">
        <f>(C80*D80)*E80</f>
        <v>1.68</v>
      </c>
      <c r="G80" s="35"/>
      <c r="I80" s="52"/>
      <c r="J80" s="52"/>
      <c r="K80" s="52"/>
      <c r="L80" s="52"/>
      <c r="M80" s="52"/>
      <c r="N80" s="52"/>
    </row>
    <row r="81" spans="1:14" ht="12.75">
      <c r="A81" s="33"/>
      <c r="B81" s="92" t="s">
        <v>222</v>
      </c>
      <c r="C81" s="106">
        <v>1.4</v>
      </c>
      <c r="D81" s="276">
        <v>1.2</v>
      </c>
      <c r="E81" s="203">
        <v>2</v>
      </c>
      <c r="F81" s="106">
        <f>(C81*D81)*E81</f>
        <v>3.36</v>
      </c>
      <c r="G81" s="35"/>
      <c r="I81" s="52"/>
      <c r="J81" s="52"/>
      <c r="K81" s="52"/>
      <c r="L81" s="52"/>
      <c r="M81" s="52"/>
      <c r="N81" s="52"/>
    </row>
    <row r="82" spans="1:14" ht="12.75">
      <c r="A82" s="33"/>
      <c r="B82" s="92" t="s">
        <v>416</v>
      </c>
      <c r="C82" s="106">
        <v>1</v>
      </c>
      <c r="D82" s="276">
        <v>0.6</v>
      </c>
      <c r="E82" s="203">
        <v>1</v>
      </c>
      <c r="F82" s="106">
        <f>(C82*D82)*E82</f>
        <v>0.6</v>
      </c>
      <c r="G82" s="35"/>
      <c r="I82" s="52"/>
      <c r="J82" s="52"/>
      <c r="K82" s="52"/>
      <c r="L82" s="52"/>
      <c r="M82" s="52"/>
      <c r="N82" s="52"/>
    </row>
    <row r="83" spans="1:14" ht="13.5" thickBot="1">
      <c r="A83" s="33"/>
      <c r="B83" s="92" t="s">
        <v>201</v>
      </c>
      <c r="C83" s="106">
        <v>1.4</v>
      </c>
      <c r="D83" s="276">
        <v>1.2</v>
      </c>
      <c r="E83" s="369">
        <v>1</v>
      </c>
      <c r="F83" s="230">
        <f>(C83*D83)*E83</f>
        <v>1.68</v>
      </c>
      <c r="G83" s="35"/>
      <c r="I83" s="52"/>
      <c r="J83" s="52"/>
      <c r="K83" s="52"/>
      <c r="L83" s="52"/>
      <c r="M83" s="52"/>
      <c r="N83" s="52"/>
    </row>
    <row r="84" spans="1:14" ht="13.5" thickBot="1">
      <c r="A84" s="33"/>
      <c r="B84" s="52"/>
      <c r="C84" s="34"/>
      <c r="D84" s="52"/>
      <c r="E84" s="195" t="s">
        <v>2</v>
      </c>
      <c r="F84" s="205">
        <f>SUM(F80:F83)</f>
        <v>7.32</v>
      </c>
      <c r="G84" s="35"/>
      <c r="I84" s="52"/>
      <c r="J84" s="52"/>
      <c r="K84" s="52"/>
      <c r="L84" s="52"/>
      <c r="M84" s="52"/>
      <c r="N84" s="52"/>
    </row>
    <row r="85" spans="1:14" ht="13.5" thickBot="1">
      <c r="A85" s="33"/>
      <c r="B85" s="34"/>
      <c r="C85" s="34"/>
      <c r="D85" s="34"/>
      <c r="E85" s="45"/>
      <c r="F85" s="34"/>
      <c r="G85" s="35"/>
      <c r="I85" s="52"/>
      <c r="J85" s="52"/>
      <c r="K85" s="52"/>
      <c r="L85" s="52"/>
      <c r="M85" s="52"/>
      <c r="N85" s="52"/>
    </row>
    <row r="86" spans="1:14" ht="13.5" thickBot="1">
      <c r="A86" s="80" t="s">
        <v>48</v>
      </c>
      <c r="B86" s="548" t="str">
        <f>Planilha!C21</f>
        <v>REMOÇÃO DE PORTAS, DE FORMA MANUAL, SEM REAPROVEITAMENTO. AF_12/2017</v>
      </c>
      <c r="C86" s="549"/>
      <c r="D86" s="549"/>
      <c r="E86" s="550"/>
      <c r="F86" s="81">
        <f>E106</f>
        <v>29.4</v>
      </c>
      <c r="G86" s="80" t="s">
        <v>19</v>
      </c>
      <c r="I86" s="52"/>
      <c r="J86" s="52"/>
      <c r="K86" s="52"/>
      <c r="L86" s="52"/>
      <c r="M86" s="52"/>
      <c r="N86" s="52"/>
    </row>
    <row r="87" spans="1:14" ht="12.75">
      <c r="A87" s="485"/>
      <c r="B87" s="34"/>
      <c r="C87" s="34"/>
      <c r="D87" s="52"/>
      <c r="E87" s="52"/>
      <c r="F87" s="52"/>
      <c r="G87" s="32"/>
      <c r="I87" s="52"/>
      <c r="J87" s="52"/>
      <c r="K87" s="52"/>
      <c r="L87" s="52"/>
      <c r="M87" s="52"/>
      <c r="N87" s="52"/>
    </row>
    <row r="88" spans="1:14" ht="12.75">
      <c r="A88" s="485"/>
      <c r="B88" s="191" t="s">
        <v>20</v>
      </c>
      <c r="C88" s="191" t="s">
        <v>227</v>
      </c>
      <c r="D88" s="191" t="s">
        <v>231</v>
      </c>
      <c r="E88" s="201" t="s">
        <v>228</v>
      </c>
      <c r="F88" s="489"/>
      <c r="G88" s="404"/>
      <c r="I88" s="52"/>
      <c r="J88" s="52"/>
      <c r="K88" s="52"/>
      <c r="L88" s="52"/>
      <c r="M88" s="52"/>
      <c r="N88" s="52"/>
    </row>
    <row r="89" spans="1:14" ht="12.75">
      <c r="A89" s="556"/>
      <c r="B89" s="102" t="s">
        <v>208</v>
      </c>
      <c r="C89" s="91">
        <v>0.8</v>
      </c>
      <c r="D89" s="91">
        <v>2.1</v>
      </c>
      <c r="E89" s="103">
        <f>C89*D89</f>
        <v>1.68</v>
      </c>
      <c r="F89" s="45"/>
      <c r="G89" s="405"/>
      <c r="I89" s="52"/>
      <c r="J89" s="52"/>
      <c r="K89" s="52"/>
      <c r="L89" s="52"/>
      <c r="M89" s="52"/>
      <c r="N89" s="52"/>
    </row>
    <row r="90" spans="1:14" ht="12.75">
      <c r="A90" s="556"/>
      <c r="B90" s="104" t="s">
        <v>211</v>
      </c>
      <c r="C90" s="84">
        <v>0.8</v>
      </c>
      <c r="D90" s="105">
        <v>2.1</v>
      </c>
      <c r="E90" s="103">
        <f>C90*D90</f>
        <v>1.68</v>
      </c>
      <c r="F90" s="45"/>
      <c r="G90" s="405"/>
      <c r="I90" s="52"/>
      <c r="J90" s="52"/>
      <c r="K90" s="52"/>
      <c r="L90" s="52"/>
      <c r="M90" s="52"/>
      <c r="N90" s="52"/>
    </row>
    <row r="91" spans="1:14" ht="12.75">
      <c r="A91" s="485"/>
      <c r="B91" s="104" t="s">
        <v>212</v>
      </c>
      <c r="C91" s="91">
        <v>0.8</v>
      </c>
      <c r="D91" s="105">
        <v>2.1</v>
      </c>
      <c r="E91" s="103">
        <f>C91*D91</f>
        <v>1.68</v>
      </c>
      <c r="F91" s="45"/>
      <c r="G91" s="405"/>
      <c r="I91" s="52"/>
      <c r="J91" s="52"/>
      <c r="K91" s="52"/>
      <c r="L91" s="52"/>
      <c r="M91" s="52"/>
      <c r="N91" s="52"/>
    </row>
    <row r="92" spans="1:10" ht="12.75">
      <c r="A92" s="485"/>
      <c r="B92" s="92" t="s">
        <v>213</v>
      </c>
      <c r="C92" s="91">
        <v>0.8</v>
      </c>
      <c r="D92" s="110">
        <v>2.1</v>
      </c>
      <c r="E92" s="103">
        <f aca="true" t="shared" si="3" ref="E92:E105">C92*D92</f>
        <v>1.68</v>
      </c>
      <c r="F92" s="45"/>
      <c r="G92" s="90"/>
      <c r="I92" s="213"/>
      <c r="J92" s="59" t="s">
        <v>35</v>
      </c>
    </row>
    <row r="93" spans="1:7" ht="12.75">
      <c r="A93" s="485"/>
      <c r="B93" s="92" t="s">
        <v>205</v>
      </c>
      <c r="C93" s="91">
        <v>0.8</v>
      </c>
      <c r="D93" s="110">
        <v>2.1</v>
      </c>
      <c r="E93" s="103">
        <f t="shared" si="3"/>
        <v>1.68</v>
      </c>
      <c r="F93" s="45"/>
      <c r="G93" s="90"/>
    </row>
    <row r="94" spans="1:7" ht="12.75">
      <c r="A94" s="485"/>
      <c r="B94" s="92" t="s">
        <v>206</v>
      </c>
      <c r="C94" s="91">
        <v>0.8</v>
      </c>
      <c r="D94" s="110">
        <v>2.1</v>
      </c>
      <c r="E94" s="103">
        <f t="shared" si="3"/>
        <v>1.68</v>
      </c>
      <c r="F94" s="45"/>
      <c r="G94" s="90"/>
    </row>
    <row r="95" spans="1:7" ht="12.75">
      <c r="A95" s="485"/>
      <c r="B95" s="92" t="s">
        <v>413</v>
      </c>
      <c r="C95" s="91">
        <v>0.8</v>
      </c>
      <c r="D95" s="110">
        <v>2.1</v>
      </c>
      <c r="E95" s="103">
        <f t="shared" si="3"/>
        <v>1.68</v>
      </c>
      <c r="F95" s="45"/>
      <c r="G95" s="90"/>
    </row>
    <row r="96" spans="1:7" ht="12.75">
      <c r="A96" s="485"/>
      <c r="B96" s="92" t="s">
        <v>222</v>
      </c>
      <c r="C96" s="91">
        <v>0.8</v>
      </c>
      <c r="D96" s="110">
        <v>2.1</v>
      </c>
      <c r="E96" s="103">
        <f t="shared" si="3"/>
        <v>1.68</v>
      </c>
      <c r="F96" s="45"/>
      <c r="G96" s="90"/>
    </row>
    <row r="97" spans="1:7" ht="12.75">
      <c r="A97" s="485"/>
      <c r="B97" s="92" t="s">
        <v>207</v>
      </c>
      <c r="C97" s="91">
        <v>0.8</v>
      </c>
      <c r="D97" s="110">
        <v>2.1</v>
      </c>
      <c r="E97" s="103">
        <f t="shared" si="3"/>
        <v>1.68</v>
      </c>
      <c r="F97" s="45"/>
      <c r="G97" s="90"/>
    </row>
    <row r="98" spans="1:7" ht="12.75">
      <c r="A98" s="485"/>
      <c r="B98" s="92" t="s">
        <v>416</v>
      </c>
      <c r="C98" s="91">
        <v>0.8</v>
      </c>
      <c r="D98" s="110">
        <v>2.1</v>
      </c>
      <c r="E98" s="103">
        <f t="shared" si="3"/>
        <v>1.68</v>
      </c>
      <c r="F98" s="45"/>
      <c r="G98" s="90"/>
    </row>
    <row r="99" spans="1:7" ht="12.75">
      <c r="A99" s="485"/>
      <c r="B99" s="92" t="s">
        <v>201</v>
      </c>
      <c r="C99" s="91">
        <v>1.2</v>
      </c>
      <c r="D99" s="110">
        <v>2.1</v>
      </c>
      <c r="E99" s="103">
        <f t="shared" si="3"/>
        <v>2.52</v>
      </c>
      <c r="F99" s="45"/>
      <c r="G99" s="90"/>
    </row>
    <row r="100" spans="1:7" ht="12.75">
      <c r="A100" s="485"/>
      <c r="B100" s="92" t="s">
        <v>215</v>
      </c>
      <c r="C100" s="91">
        <v>0.8</v>
      </c>
      <c r="D100" s="110">
        <v>2.1</v>
      </c>
      <c r="E100" s="103">
        <f t="shared" si="3"/>
        <v>1.68</v>
      </c>
      <c r="F100" s="45"/>
      <c r="G100" s="90"/>
    </row>
    <row r="101" spans="1:7" ht="12.75">
      <c r="A101" s="485"/>
      <c r="B101" s="92" t="s">
        <v>203</v>
      </c>
      <c r="C101" s="91">
        <v>0.8</v>
      </c>
      <c r="D101" s="110">
        <v>2.1</v>
      </c>
      <c r="E101" s="103">
        <f t="shared" si="3"/>
        <v>1.68</v>
      </c>
      <c r="F101" s="45"/>
      <c r="G101" s="90"/>
    </row>
    <row r="102" spans="1:7" ht="12.75">
      <c r="A102" s="485"/>
      <c r="B102" s="92" t="s">
        <v>216</v>
      </c>
      <c r="C102" s="91">
        <v>0.8</v>
      </c>
      <c r="D102" s="110">
        <v>2.1</v>
      </c>
      <c r="E102" s="103">
        <f t="shared" si="3"/>
        <v>1.68</v>
      </c>
      <c r="F102" s="45"/>
      <c r="G102" s="90"/>
    </row>
    <row r="103" spans="1:7" ht="12.75">
      <c r="A103" s="485"/>
      <c r="B103" s="92" t="s">
        <v>217</v>
      </c>
      <c r="C103" s="91">
        <v>0.8</v>
      </c>
      <c r="D103" s="110">
        <v>2.1</v>
      </c>
      <c r="E103" s="103">
        <f t="shared" si="3"/>
        <v>1.68</v>
      </c>
      <c r="F103" s="45"/>
      <c r="G103" s="90"/>
    </row>
    <row r="104" spans="1:7" ht="12.75">
      <c r="A104" s="485"/>
      <c r="B104" s="92" t="s">
        <v>330</v>
      </c>
      <c r="C104" s="91">
        <v>0.8</v>
      </c>
      <c r="D104" s="110">
        <v>2.1</v>
      </c>
      <c r="E104" s="103">
        <f t="shared" si="3"/>
        <v>1.68</v>
      </c>
      <c r="F104" s="45"/>
      <c r="G104" s="90"/>
    </row>
    <row r="105" spans="1:7" ht="13.5" thickBot="1">
      <c r="A105" s="485"/>
      <c r="B105" s="92" t="s">
        <v>218</v>
      </c>
      <c r="C105" s="91">
        <v>0.8</v>
      </c>
      <c r="D105" s="110">
        <v>2.1</v>
      </c>
      <c r="E105" s="103">
        <f t="shared" si="3"/>
        <v>1.68</v>
      </c>
      <c r="F105" s="45"/>
      <c r="G105" s="90"/>
    </row>
    <row r="106" spans="1:7" ht="13.5" thickBot="1">
      <c r="A106" s="485"/>
      <c r="B106" s="72"/>
      <c r="C106" s="71"/>
      <c r="D106" s="216" t="s">
        <v>2</v>
      </c>
      <c r="E106" s="215">
        <f>SUM(E89:E105)</f>
        <v>29.4</v>
      </c>
      <c r="F106" s="77"/>
      <c r="G106" s="364"/>
    </row>
    <row r="107" spans="1:7" ht="13.5" thickBot="1">
      <c r="A107" s="485"/>
      <c r="B107" s="70"/>
      <c r="C107" s="41"/>
      <c r="D107" s="41"/>
      <c r="E107" s="41"/>
      <c r="F107" s="83"/>
      <c r="G107" s="61"/>
    </row>
    <row r="108" spans="1:7" ht="13.5" thickBot="1">
      <c r="A108" s="80" t="s">
        <v>49</v>
      </c>
      <c r="B108" s="548" t="str">
        <f>Planilha!C22</f>
        <v>REMOÇÃO DE LOUÇAS, DE FORMA MANUAL, SEM REAPROVEITAMENTO. AF_12/2017. LAVATÓRIO E VASO</v>
      </c>
      <c r="C108" s="549"/>
      <c r="D108" s="549"/>
      <c r="E108" s="550"/>
      <c r="F108" s="81">
        <f>D117</f>
        <v>6</v>
      </c>
      <c r="G108" s="220" t="s">
        <v>93</v>
      </c>
    </row>
    <row r="109" spans="1:7" ht="12.75">
      <c r="A109" s="65"/>
      <c r="B109" s="219"/>
      <c r="C109" s="219"/>
      <c r="D109" s="219"/>
      <c r="E109" s="189"/>
      <c r="F109" s="66"/>
      <c r="G109" s="93"/>
    </row>
    <row r="110" spans="1:7" ht="12.75">
      <c r="A110" s="486"/>
      <c r="B110" s="191" t="s">
        <v>20</v>
      </c>
      <c r="C110" s="200" t="s">
        <v>6</v>
      </c>
      <c r="D110" s="191" t="s">
        <v>24</v>
      </c>
      <c r="E110" s="52"/>
      <c r="F110" s="45"/>
      <c r="G110" s="90"/>
    </row>
    <row r="111" spans="1:7" ht="12.75">
      <c r="A111" s="556"/>
      <c r="B111" s="88" t="s">
        <v>203</v>
      </c>
      <c r="C111" s="89" t="s">
        <v>235</v>
      </c>
      <c r="D111" s="91">
        <v>1</v>
      </c>
      <c r="E111" s="52"/>
      <c r="F111" s="73"/>
      <c r="G111" s="90"/>
    </row>
    <row r="112" spans="1:7" ht="12.75">
      <c r="A112" s="556"/>
      <c r="B112" s="104" t="s">
        <v>203</v>
      </c>
      <c r="C112" s="105" t="s">
        <v>241</v>
      </c>
      <c r="D112" s="91">
        <v>1</v>
      </c>
      <c r="E112" s="52"/>
      <c r="F112" s="41"/>
      <c r="G112" s="90"/>
    </row>
    <row r="113" spans="1:8" ht="12.75">
      <c r="A113" s="556"/>
      <c r="B113" s="104" t="s">
        <v>226</v>
      </c>
      <c r="C113" s="105" t="s">
        <v>235</v>
      </c>
      <c r="D113" s="91">
        <v>1</v>
      </c>
      <c r="E113" s="52"/>
      <c r="F113" s="41"/>
      <c r="G113" s="90"/>
      <c r="H113" s="52"/>
    </row>
    <row r="114" spans="1:7" ht="12.75">
      <c r="A114" s="556"/>
      <c r="B114" s="104" t="s">
        <v>226</v>
      </c>
      <c r="C114" s="91" t="s">
        <v>241</v>
      </c>
      <c r="D114" s="84">
        <v>1</v>
      </c>
      <c r="E114" s="52"/>
      <c r="F114" s="41"/>
      <c r="G114" s="90"/>
    </row>
    <row r="115" spans="1:7" ht="12.75">
      <c r="A115" s="556"/>
      <c r="B115" s="76" t="s">
        <v>413</v>
      </c>
      <c r="C115" s="89" t="s">
        <v>235</v>
      </c>
      <c r="D115" s="84">
        <v>1</v>
      </c>
      <c r="E115" s="52"/>
      <c r="F115" s="41"/>
      <c r="G115" s="90"/>
    </row>
    <row r="116" spans="1:8" ht="13.5" thickBot="1">
      <c r="A116" s="556"/>
      <c r="B116" s="76" t="s">
        <v>413</v>
      </c>
      <c r="C116" s="91" t="s">
        <v>241</v>
      </c>
      <c r="D116" s="84">
        <v>1</v>
      </c>
      <c r="E116" s="52"/>
      <c r="F116" s="41"/>
      <c r="G116" s="90"/>
      <c r="H116" s="52"/>
    </row>
    <row r="117" spans="1:7" ht="13.5" thickBot="1">
      <c r="A117" s="556"/>
      <c r="B117" s="72"/>
      <c r="C117" s="87" t="s">
        <v>2</v>
      </c>
      <c r="D117" s="216">
        <f>SUM(D111:D116)</f>
        <v>6</v>
      </c>
      <c r="E117" s="52"/>
      <c r="F117" s="52"/>
      <c r="G117" s="94"/>
    </row>
    <row r="118" spans="1:7" ht="13.5" thickBot="1">
      <c r="A118" s="485"/>
      <c r="B118" s="70"/>
      <c r="C118" s="77"/>
      <c r="D118" s="77"/>
      <c r="E118" s="218"/>
      <c r="F118" s="83"/>
      <c r="G118" s="94"/>
    </row>
    <row r="119" spans="1:7" ht="13.5" thickBot="1">
      <c r="A119" s="80" t="s">
        <v>189</v>
      </c>
      <c r="B119" s="602" t="str">
        <f>Planilha!C23</f>
        <v>REMOÇÃO DE METAIS SANITÁRIOS, DE FORMA MANUAL, SEM REAPROVEITAMENTO. AF_12/2017</v>
      </c>
      <c r="C119" s="603"/>
      <c r="D119" s="603"/>
      <c r="E119" s="603"/>
      <c r="F119" s="320">
        <f>D129</f>
        <v>7</v>
      </c>
      <c r="G119" s="220" t="s">
        <v>93</v>
      </c>
    </row>
    <row r="120" spans="1:7" ht="12.75">
      <c r="A120" s="217"/>
      <c r="B120" s="34"/>
      <c r="C120" s="34"/>
      <c r="D120" s="34"/>
      <c r="E120" s="45"/>
      <c r="F120" s="34"/>
      <c r="G120" s="35"/>
    </row>
    <row r="121" spans="1:7" ht="12.75">
      <c r="A121" s="54"/>
      <c r="B121" s="191" t="s">
        <v>20</v>
      </c>
      <c r="C121" s="200" t="s">
        <v>6</v>
      </c>
      <c r="D121" s="191" t="s">
        <v>24</v>
      </c>
      <c r="E121" s="45"/>
      <c r="F121" s="34"/>
      <c r="G121" s="35"/>
    </row>
    <row r="122" spans="1:7" ht="12.75">
      <c r="A122" s="217"/>
      <c r="B122" s="88" t="s">
        <v>203</v>
      </c>
      <c r="C122" s="91" t="s">
        <v>242</v>
      </c>
      <c r="D122" s="91">
        <v>1</v>
      </c>
      <c r="E122" s="45"/>
      <c r="F122" s="34"/>
      <c r="G122" s="35"/>
    </row>
    <row r="123" spans="1:7" ht="12.75">
      <c r="A123" s="217"/>
      <c r="B123" s="104" t="s">
        <v>226</v>
      </c>
      <c r="C123" s="105" t="s">
        <v>243</v>
      </c>
      <c r="D123" s="91">
        <v>1</v>
      </c>
      <c r="E123" s="45"/>
      <c r="F123" s="34"/>
      <c r="G123" s="35"/>
    </row>
    <row r="124" spans="1:7" ht="12.75">
      <c r="A124" s="217"/>
      <c r="B124" s="104" t="s">
        <v>226</v>
      </c>
      <c r="C124" s="105" t="s">
        <v>244</v>
      </c>
      <c r="D124" s="91">
        <v>1</v>
      </c>
      <c r="E124" s="45"/>
      <c r="F124" s="34"/>
      <c r="G124" s="35"/>
    </row>
    <row r="125" spans="1:7" ht="12.75">
      <c r="A125" s="217"/>
      <c r="B125" s="104" t="s">
        <v>226</v>
      </c>
      <c r="C125" s="86" t="s">
        <v>242</v>
      </c>
      <c r="D125" s="84">
        <v>1</v>
      </c>
      <c r="E125" s="45"/>
      <c r="F125" s="34"/>
      <c r="G125" s="35"/>
    </row>
    <row r="126" spans="1:7" ht="12.75">
      <c r="A126" s="217"/>
      <c r="B126" s="76" t="s">
        <v>413</v>
      </c>
      <c r="C126" s="105" t="s">
        <v>243</v>
      </c>
      <c r="D126" s="84">
        <v>1</v>
      </c>
      <c r="E126" s="45"/>
      <c r="F126" s="34"/>
      <c r="G126" s="35"/>
    </row>
    <row r="127" spans="1:7" ht="12.75">
      <c r="A127" s="217"/>
      <c r="B127" s="76" t="s">
        <v>413</v>
      </c>
      <c r="C127" s="105" t="s">
        <v>244</v>
      </c>
      <c r="D127" s="84">
        <v>1</v>
      </c>
      <c r="E127" s="45"/>
      <c r="F127" s="34"/>
      <c r="G127" s="35"/>
    </row>
    <row r="128" spans="1:7" ht="12.75">
      <c r="A128" s="217"/>
      <c r="B128" s="104" t="s">
        <v>413</v>
      </c>
      <c r="C128" s="105" t="s">
        <v>242</v>
      </c>
      <c r="D128" s="91">
        <v>1</v>
      </c>
      <c r="E128" s="45"/>
      <c r="F128" s="34"/>
      <c r="G128" s="35"/>
    </row>
    <row r="129" spans="1:7" ht="13.5" thickBot="1">
      <c r="A129" s="217"/>
      <c r="B129" s="70"/>
      <c r="C129" s="353" t="s">
        <v>2</v>
      </c>
      <c r="D129" s="480">
        <f>SUM(D122:D128)</f>
        <v>7</v>
      </c>
      <c r="E129" s="45"/>
      <c r="F129" s="34"/>
      <c r="G129" s="35"/>
    </row>
    <row r="130" spans="1:7" ht="13.5" thickBot="1">
      <c r="A130" s="217"/>
      <c r="B130" s="70"/>
      <c r="C130" s="45"/>
      <c r="D130" s="73"/>
      <c r="E130" s="45"/>
      <c r="F130" s="34"/>
      <c r="G130" s="35"/>
    </row>
    <row r="131" spans="1:7" ht="13.5" thickBot="1">
      <c r="A131" s="80" t="s">
        <v>190</v>
      </c>
      <c r="B131" s="565" t="str">
        <f>Planilha!C24</f>
        <v>REMOÇÃO DE FORROS DE DRYWALL, PVC E FIBROMINERAL, DE FORMA MANUAL, SEM REAPROVEITAMENTO. AF_12/2017</v>
      </c>
      <c r="C131" s="566"/>
      <c r="D131" s="566"/>
      <c r="E131" s="567"/>
      <c r="F131" s="81">
        <f>E152</f>
        <v>175.03</v>
      </c>
      <c r="G131" s="80" t="s">
        <v>94</v>
      </c>
    </row>
    <row r="132" spans="1:7" ht="12.75">
      <c r="A132" s="217"/>
      <c r="B132" s="70"/>
      <c r="C132" s="45"/>
      <c r="D132" s="73"/>
      <c r="E132" s="45"/>
      <c r="F132" s="34"/>
      <c r="G132" s="35"/>
    </row>
    <row r="133" spans="1:7" ht="12.75">
      <c r="A133" s="217"/>
      <c r="B133" s="112" t="s">
        <v>20</v>
      </c>
      <c r="C133" s="112" t="s">
        <v>21</v>
      </c>
      <c r="D133" s="112" t="s">
        <v>26</v>
      </c>
      <c r="E133" s="112" t="s">
        <v>23</v>
      </c>
      <c r="F133" s="34"/>
      <c r="G133" s="35"/>
    </row>
    <row r="134" spans="1:7" ht="12.75">
      <c r="A134" s="217"/>
      <c r="B134" s="104" t="s">
        <v>208</v>
      </c>
      <c r="C134" s="106">
        <v>2.45</v>
      </c>
      <c r="D134" s="106">
        <v>3.25</v>
      </c>
      <c r="E134" s="106">
        <f>C134*D134</f>
        <v>7.96</v>
      </c>
      <c r="F134" s="34"/>
      <c r="G134" s="35"/>
    </row>
    <row r="135" spans="1:7" ht="12.75">
      <c r="A135" s="217"/>
      <c r="B135" s="104" t="s">
        <v>211</v>
      </c>
      <c r="C135" s="106">
        <v>1.75</v>
      </c>
      <c r="D135" s="106">
        <v>3.25</v>
      </c>
      <c r="E135" s="106">
        <f aca="true" t="shared" si="4" ref="E135:E150">C135*D135</f>
        <v>5.69</v>
      </c>
      <c r="F135" s="34"/>
      <c r="G135" s="35"/>
    </row>
    <row r="136" spans="1:7" ht="12.75">
      <c r="A136" s="217"/>
      <c r="B136" s="92" t="s">
        <v>417</v>
      </c>
      <c r="C136" s="106">
        <v>1.8</v>
      </c>
      <c r="D136" s="106">
        <v>3.25</v>
      </c>
      <c r="E136" s="106">
        <f t="shared" si="4"/>
        <v>5.85</v>
      </c>
      <c r="F136" s="34"/>
      <c r="G136" s="35"/>
    </row>
    <row r="137" spans="1:7" ht="12.75">
      <c r="A137" s="217"/>
      <c r="B137" s="104" t="s">
        <v>221</v>
      </c>
      <c r="C137" s="106">
        <v>3.05</v>
      </c>
      <c r="D137" s="106">
        <v>3.25</v>
      </c>
      <c r="E137" s="106">
        <f t="shared" si="4"/>
        <v>9.91</v>
      </c>
      <c r="F137" s="34"/>
      <c r="G137" s="35"/>
    </row>
    <row r="138" spans="1:7" ht="13.5" customHeight="1">
      <c r="A138" s="217"/>
      <c r="B138" s="104" t="s">
        <v>205</v>
      </c>
      <c r="C138" s="106">
        <v>2.9</v>
      </c>
      <c r="D138" s="106">
        <v>3.25</v>
      </c>
      <c r="E138" s="106">
        <f t="shared" si="4"/>
        <v>9.43</v>
      </c>
      <c r="F138" s="34"/>
      <c r="G138" s="35"/>
    </row>
    <row r="139" spans="1:7" ht="12.75">
      <c r="A139" s="217"/>
      <c r="B139" s="92" t="s">
        <v>206</v>
      </c>
      <c r="C139" s="92">
        <v>2.6</v>
      </c>
      <c r="D139" s="92">
        <v>6.1</v>
      </c>
      <c r="E139" s="110">
        <f t="shared" si="4"/>
        <v>15.86</v>
      </c>
      <c r="F139" s="52"/>
      <c r="G139" s="55"/>
    </row>
    <row r="140" spans="1:7" ht="12.75">
      <c r="A140" s="217"/>
      <c r="B140" s="92" t="s">
        <v>413</v>
      </c>
      <c r="C140" s="92">
        <v>3.3</v>
      </c>
      <c r="D140" s="92">
        <v>1.35</v>
      </c>
      <c r="E140" s="110">
        <f t="shared" si="4"/>
        <v>4.46</v>
      </c>
      <c r="F140" s="34"/>
      <c r="G140" s="35"/>
    </row>
    <row r="141" spans="1:7" ht="12.75">
      <c r="A141" s="217"/>
      <c r="B141" s="92" t="s">
        <v>222</v>
      </c>
      <c r="C141" s="92">
        <v>3.3</v>
      </c>
      <c r="D141" s="92">
        <v>7.6</v>
      </c>
      <c r="E141" s="110">
        <f t="shared" si="4"/>
        <v>25.08</v>
      </c>
      <c r="F141" s="34"/>
      <c r="G141" s="35"/>
    </row>
    <row r="142" spans="1:7" ht="12.75">
      <c r="A142" s="217"/>
      <c r="B142" s="92" t="s">
        <v>207</v>
      </c>
      <c r="C142" s="92">
        <v>4.5</v>
      </c>
      <c r="D142" s="92">
        <v>2.6</v>
      </c>
      <c r="E142" s="110">
        <f t="shared" si="4"/>
        <v>11.7</v>
      </c>
      <c r="F142" s="34"/>
      <c r="G142" s="35"/>
    </row>
    <row r="143" spans="1:7" ht="12.75">
      <c r="A143" s="217"/>
      <c r="B143" s="92" t="s">
        <v>416</v>
      </c>
      <c r="C143" s="92">
        <v>1.3</v>
      </c>
      <c r="D143" s="92">
        <v>2.6</v>
      </c>
      <c r="E143" s="110">
        <f t="shared" si="4"/>
        <v>3.38</v>
      </c>
      <c r="F143" s="34"/>
      <c r="G143" s="35"/>
    </row>
    <row r="144" spans="1:7" ht="12.75">
      <c r="A144" s="217"/>
      <c r="B144" s="92" t="s">
        <v>201</v>
      </c>
      <c r="C144" s="92">
        <v>3.35</v>
      </c>
      <c r="D144" s="92">
        <v>2.75</v>
      </c>
      <c r="E144" s="110">
        <f t="shared" si="4"/>
        <v>9.21</v>
      </c>
      <c r="F144" s="34"/>
      <c r="G144" s="35"/>
    </row>
    <row r="145" spans="1:9" ht="12.75">
      <c r="A145" s="217"/>
      <c r="B145" s="92" t="s">
        <v>223</v>
      </c>
      <c r="C145" s="92">
        <v>9.15</v>
      </c>
      <c r="D145" s="92">
        <v>1.2</v>
      </c>
      <c r="E145" s="110">
        <f t="shared" si="4"/>
        <v>10.98</v>
      </c>
      <c r="F145" s="34"/>
      <c r="G145" s="35"/>
      <c r="H145" s="34"/>
      <c r="I145" s="35"/>
    </row>
    <row r="146" spans="1:7" ht="12.75">
      <c r="A146" s="217"/>
      <c r="B146" s="92" t="s">
        <v>224</v>
      </c>
      <c r="C146" s="92">
        <v>6.7</v>
      </c>
      <c r="D146" s="92">
        <v>2.75</v>
      </c>
      <c r="E146" s="110">
        <f t="shared" si="4"/>
        <v>18.43</v>
      </c>
      <c r="F146" s="34"/>
      <c r="G146" s="35"/>
    </row>
    <row r="147" spans="1:7" ht="12.75">
      <c r="A147" s="217"/>
      <c r="B147" s="92" t="s">
        <v>215</v>
      </c>
      <c r="C147" s="92">
        <v>3.05</v>
      </c>
      <c r="D147" s="92">
        <v>1.6</v>
      </c>
      <c r="E147" s="110">
        <f t="shared" si="4"/>
        <v>4.88</v>
      </c>
      <c r="F147" s="34"/>
      <c r="G147" s="35"/>
    </row>
    <row r="148" spans="1:7" ht="12.75">
      <c r="A148" s="217"/>
      <c r="B148" s="92" t="s">
        <v>225</v>
      </c>
      <c r="C148" s="92">
        <v>3.05</v>
      </c>
      <c r="D148" s="92">
        <v>2.4</v>
      </c>
      <c r="E148" s="110">
        <f t="shared" si="4"/>
        <v>7.32</v>
      </c>
      <c r="F148" s="34"/>
      <c r="G148" s="35"/>
    </row>
    <row r="149" spans="1:7" ht="12.75">
      <c r="A149" s="217"/>
      <c r="B149" s="92" t="s">
        <v>216</v>
      </c>
      <c r="C149" s="92">
        <v>3.6</v>
      </c>
      <c r="D149" s="92">
        <v>4.15</v>
      </c>
      <c r="E149" s="110">
        <f t="shared" si="4"/>
        <v>14.94</v>
      </c>
      <c r="F149" s="34"/>
      <c r="G149" s="35"/>
    </row>
    <row r="150" spans="1:7" ht="12.75">
      <c r="A150" s="217"/>
      <c r="B150" s="92" t="s">
        <v>217</v>
      </c>
      <c r="C150" s="92">
        <v>1.2</v>
      </c>
      <c r="D150" s="92">
        <v>1.2</v>
      </c>
      <c r="E150" s="204">
        <f t="shared" si="4"/>
        <v>1.44</v>
      </c>
      <c r="F150" s="34"/>
      <c r="G150" s="35"/>
    </row>
    <row r="151" spans="1:7" ht="13.5" thickBot="1">
      <c r="A151" s="217"/>
      <c r="B151" s="92" t="s">
        <v>226</v>
      </c>
      <c r="C151" s="92">
        <v>2.05</v>
      </c>
      <c r="D151" s="92">
        <v>4.15</v>
      </c>
      <c r="E151" s="204">
        <f>C151*D151</f>
        <v>8.51</v>
      </c>
      <c r="F151" s="34"/>
      <c r="G151" s="35"/>
    </row>
    <row r="152" spans="1:7" ht="13.5" thickBot="1">
      <c r="A152" s="217"/>
      <c r="B152" s="70"/>
      <c r="C152" s="45"/>
      <c r="D152" s="195" t="s">
        <v>2</v>
      </c>
      <c r="E152" s="205">
        <f>SUM(E134:E151)</f>
        <v>175.03</v>
      </c>
      <c r="F152" s="34"/>
      <c r="G152" s="35"/>
    </row>
    <row r="153" spans="1:7" ht="13.5" thickBot="1">
      <c r="A153" s="217"/>
      <c r="B153" s="70"/>
      <c r="C153" s="45"/>
      <c r="D153" s="73"/>
      <c r="E153" s="45"/>
      <c r="F153" s="34"/>
      <c r="G153" s="35"/>
    </row>
    <row r="154" spans="1:7" ht="13.5" thickBot="1">
      <c r="A154" s="80" t="s">
        <v>192</v>
      </c>
      <c r="B154" s="565" t="str">
        <f>Planilha!C25</f>
        <v>REMOÇÃO DE TRAMA METÁLICA OU DE MADEIRA PARA FORRO, DE FORMA MANUAL, SEM REAPROVEITAMENTO. AF_12/2017</v>
      </c>
      <c r="C154" s="566"/>
      <c r="D154" s="566"/>
      <c r="E154" s="567"/>
      <c r="F154" s="81">
        <f>E175</f>
        <v>175.36</v>
      </c>
      <c r="G154" s="80" t="s">
        <v>94</v>
      </c>
    </row>
    <row r="155" spans="1:7" ht="12.75">
      <c r="A155" s="217"/>
      <c r="B155" s="221"/>
      <c r="C155" s="221"/>
      <c r="D155" s="221"/>
      <c r="E155" s="221"/>
      <c r="F155" s="34"/>
      <c r="G155" s="35"/>
    </row>
    <row r="156" spans="1:7" ht="12.75">
      <c r="A156" s="217"/>
      <c r="B156" s="112" t="s">
        <v>20</v>
      </c>
      <c r="C156" s="112" t="s">
        <v>21</v>
      </c>
      <c r="D156" s="112" t="s">
        <v>26</v>
      </c>
      <c r="E156" s="112" t="s">
        <v>23</v>
      </c>
      <c r="F156" s="34"/>
      <c r="G156" s="35"/>
    </row>
    <row r="157" spans="1:7" ht="12.75">
      <c r="A157" s="217"/>
      <c r="B157" s="104" t="s">
        <v>208</v>
      </c>
      <c r="C157" s="106">
        <v>2.45</v>
      </c>
      <c r="D157" s="106">
        <v>3.25</v>
      </c>
      <c r="E157" s="106">
        <f>C157*D157</f>
        <v>7.96</v>
      </c>
      <c r="F157" s="34"/>
      <c r="G157" s="35"/>
    </row>
    <row r="158" spans="1:7" ht="12.75">
      <c r="A158" s="217"/>
      <c r="B158" s="104" t="s">
        <v>211</v>
      </c>
      <c r="C158" s="106">
        <v>1.75</v>
      </c>
      <c r="D158" s="106">
        <v>3.25</v>
      </c>
      <c r="E158" s="106">
        <f aca="true" t="shared" si="5" ref="E158:E173">C158*D158</f>
        <v>5.69</v>
      </c>
      <c r="F158" s="34"/>
      <c r="G158" s="35"/>
    </row>
    <row r="159" spans="1:7" ht="12.75">
      <c r="A159" s="217"/>
      <c r="B159" s="92" t="s">
        <v>212</v>
      </c>
      <c r="C159" s="106">
        <v>1.8</v>
      </c>
      <c r="D159" s="106">
        <v>3.25</v>
      </c>
      <c r="E159" s="106">
        <f t="shared" si="5"/>
        <v>5.85</v>
      </c>
      <c r="F159" s="34"/>
      <c r="G159" s="35"/>
    </row>
    <row r="160" spans="1:7" ht="12.75">
      <c r="A160" s="217"/>
      <c r="B160" s="104" t="s">
        <v>221</v>
      </c>
      <c r="C160" s="106">
        <v>3.05</v>
      </c>
      <c r="D160" s="106">
        <v>3.25</v>
      </c>
      <c r="E160" s="106">
        <f t="shared" si="5"/>
        <v>9.91</v>
      </c>
      <c r="F160" s="34"/>
      <c r="G160" s="35"/>
    </row>
    <row r="161" spans="1:7" ht="12.75">
      <c r="A161" s="217"/>
      <c r="B161" s="104" t="s">
        <v>205</v>
      </c>
      <c r="C161" s="106">
        <v>2.9</v>
      </c>
      <c r="D161" s="106">
        <v>3.25</v>
      </c>
      <c r="E161" s="106">
        <f t="shared" si="5"/>
        <v>9.43</v>
      </c>
      <c r="F161" s="34"/>
      <c r="G161" s="35"/>
    </row>
    <row r="162" spans="1:7" ht="12.75">
      <c r="A162" s="217"/>
      <c r="B162" s="92" t="s">
        <v>206</v>
      </c>
      <c r="C162" s="92">
        <v>2.6</v>
      </c>
      <c r="D162" s="92">
        <v>6.1</v>
      </c>
      <c r="E162" s="110">
        <f t="shared" si="5"/>
        <v>15.86</v>
      </c>
      <c r="F162" s="34"/>
      <c r="G162" s="35"/>
    </row>
    <row r="163" spans="1:7" ht="12.75">
      <c r="A163" s="217"/>
      <c r="B163" s="92" t="s">
        <v>413</v>
      </c>
      <c r="C163" s="92">
        <v>3.3</v>
      </c>
      <c r="D163" s="92">
        <v>1.45</v>
      </c>
      <c r="E163" s="110">
        <f t="shared" si="5"/>
        <v>4.79</v>
      </c>
      <c r="F163" s="34"/>
      <c r="G163" s="35"/>
    </row>
    <row r="164" spans="1:7" ht="12.75">
      <c r="A164" s="217"/>
      <c r="B164" s="92" t="s">
        <v>222</v>
      </c>
      <c r="C164" s="92">
        <v>3.3</v>
      </c>
      <c r="D164" s="92">
        <v>7.6</v>
      </c>
      <c r="E164" s="110">
        <f t="shared" si="5"/>
        <v>25.08</v>
      </c>
      <c r="F164" s="34"/>
      <c r="G164" s="35"/>
    </row>
    <row r="165" spans="1:7" ht="12.75">
      <c r="A165" s="217"/>
      <c r="B165" s="92" t="s">
        <v>207</v>
      </c>
      <c r="C165" s="92">
        <v>4.5</v>
      </c>
      <c r="D165" s="92">
        <v>2.6</v>
      </c>
      <c r="E165" s="110">
        <f t="shared" si="5"/>
        <v>11.7</v>
      </c>
      <c r="F165" s="34"/>
      <c r="G165" s="35"/>
    </row>
    <row r="166" spans="1:7" ht="12.75">
      <c r="A166" s="217"/>
      <c r="B166" s="92" t="s">
        <v>416</v>
      </c>
      <c r="C166" s="92">
        <v>1.3</v>
      </c>
      <c r="D166" s="92">
        <v>2.6</v>
      </c>
      <c r="E166" s="110">
        <f t="shared" si="5"/>
        <v>3.38</v>
      </c>
      <c r="F166" s="34"/>
      <c r="G166" s="35"/>
    </row>
    <row r="167" spans="1:8" ht="12.75">
      <c r="A167" s="217"/>
      <c r="B167" s="92" t="s">
        <v>201</v>
      </c>
      <c r="C167" s="92">
        <v>3.35</v>
      </c>
      <c r="D167" s="92">
        <v>2.75</v>
      </c>
      <c r="E167" s="110">
        <f t="shared" si="5"/>
        <v>9.21</v>
      </c>
      <c r="F167" s="34"/>
      <c r="G167" s="35"/>
      <c r="H167" s="213"/>
    </row>
    <row r="168" spans="1:7" ht="12.75">
      <c r="A168" s="217"/>
      <c r="B168" s="92" t="s">
        <v>223</v>
      </c>
      <c r="C168" s="92">
        <v>9.15</v>
      </c>
      <c r="D168" s="92">
        <v>1.2</v>
      </c>
      <c r="E168" s="110">
        <f t="shared" si="5"/>
        <v>10.98</v>
      </c>
      <c r="F168" s="34"/>
      <c r="G168" s="35"/>
    </row>
    <row r="169" spans="1:7" ht="12.75">
      <c r="A169" s="217"/>
      <c r="B169" s="92" t="s">
        <v>224</v>
      </c>
      <c r="C169" s="92">
        <v>6.7</v>
      </c>
      <c r="D169" s="92">
        <v>2.75</v>
      </c>
      <c r="E169" s="110">
        <f t="shared" si="5"/>
        <v>18.43</v>
      </c>
      <c r="F169" s="34"/>
      <c r="G169" s="35"/>
    </row>
    <row r="170" spans="1:7" ht="12.75">
      <c r="A170" s="217"/>
      <c r="B170" s="92" t="s">
        <v>215</v>
      </c>
      <c r="C170" s="92">
        <v>3.05</v>
      </c>
      <c r="D170" s="92">
        <v>1.6</v>
      </c>
      <c r="E170" s="110">
        <f t="shared" si="5"/>
        <v>4.88</v>
      </c>
      <c r="F170" s="34"/>
      <c r="G170" s="35"/>
    </row>
    <row r="171" spans="1:7" ht="12.75">
      <c r="A171" s="217"/>
      <c r="B171" s="92" t="s">
        <v>225</v>
      </c>
      <c r="C171" s="92">
        <v>3.05</v>
      </c>
      <c r="D171" s="92">
        <v>2.4</v>
      </c>
      <c r="E171" s="110">
        <f t="shared" si="5"/>
        <v>7.32</v>
      </c>
      <c r="F171" s="34"/>
      <c r="G171" s="35"/>
    </row>
    <row r="172" spans="1:7" ht="12.75">
      <c r="A172" s="217"/>
      <c r="B172" s="92" t="s">
        <v>216</v>
      </c>
      <c r="C172" s="92">
        <v>3.6</v>
      </c>
      <c r="D172" s="92">
        <v>4.15</v>
      </c>
      <c r="E172" s="110">
        <f t="shared" si="5"/>
        <v>14.94</v>
      </c>
      <c r="F172" s="34"/>
      <c r="G172" s="35"/>
    </row>
    <row r="173" spans="1:7" ht="12.75">
      <c r="A173" s="217"/>
      <c r="B173" s="92" t="s">
        <v>217</v>
      </c>
      <c r="C173" s="92">
        <v>1.2</v>
      </c>
      <c r="D173" s="92">
        <v>1.2</v>
      </c>
      <c r="E173" s="204">
        <f t="shared" si="5"/>
        <v>1.44</v>
      </c>
      <c r="F173" s="34"/>
      <c r="G173" s="35"/>
    </row>
    <row r="174" spans="1:7" ht="13.5" thickBot="1">
      <c r="A174" s="217"/>
      <c r="B174" s="92" t="s">
        <v>226</v>
      </c>
      <c r="C174" s="92">
        <v>2.05</v>
      </c>
      <c r="D174" s="92">
        <v>4.15</v>
      </c>
      <c r="E174" s="204">
        <f>C174*D174</f>
        <v>8.51</v>
      </c>
      <c r="F174" s="34"/>
      <c r="G174" s="35"/>
    </row>
    <row r="175" spans="1:10" ht="13.5" thickBot="1">
      <c r="A175" s="217"/>
      <c r="B175" s="70"/>
      <c r="C175" s="45"/>
      <c r="D175" s="195" t="s">
        <v>2</v>
      </c>
      <c r="E175" s="205">
        <f>SUM(E157:E174)</f>
        <v>175.36</v>
      </c>
      <c r="F175" s="34"/>
      <c r="G175" s="35"/>
      <c r="J175" s="52"/>
    </row>
    <row r="176" spans="1:10" ht="13.5" thickBot="1">
      <c r="A176" s="217"/>
      <c r="B176" s="70"/>
      <c r="C176" s="45"/>
      <c r="D176" s="37"/>
      <c r="E176" s="34"/>
      <c r="F176" s="52"/>
      <c r="G176" s="35"/>
      <c r="J176" s="52"/>
    </row>
    <row r="177" spans="1:7" ht="13.5" thickBot="1">
      <c r="A177" s="80" t="s">
        <v>196</v>
      </c>
      <c r="B177" s="551" t="str">
        <f>Planilha!C26</f>
        <v>REMOÇÃO MANUAL DE TELHA CERÂMICA, COM REAPROVEITAMENTO, INCLUSIVE AFASTAMENTO E EMPILHAMENTO, EXCLUSIVE TRANSPORTE E RETIRADA DO  MATERIAL REMOVIDO NÃO REAPROVEITÁVEL</v>
      </c>
      <c r="C177" s="552"/>
      <c r="D177" s="552"/>
      <c r="E177" s="553"/>
      <c r="F177" s="81">
        <f>SUM(F185+F193)</f>
        <v>256.23</v>
      </c>
      <c r="G177" s="80" t="s">
        <v>94</v>
      </c>
    </row>
    <row r="178" spans="1:7" ht="12.75">
      <c r="A178" s="217"/>
      <c r="B178" s="70"/>
      <c r="C178" s="70"/>
      <c r="D178" s="70"/>
      <c r="E178" s="70"/>
      <c r="F178" s="49"/>
      <c r="G178" s="35"/>
    </row>
    <row r="179" spans="1:7" ht="12.75">
      <c r="A179" s="217"/>
      <c r="B179" s="70"/>
      <c r="C179" s="579" t="s">
        <v>245</v>
      </c>
      <c r="D179" s="579"/>
      <c r="E179" s="579"/>
      <c r="F179" s="579"/>
      <c r="G179" s="35"/>
    </row>
    <row r="180" spans="1:7" ht="12.75">
      <c r="A180" s="217"/>
      <c r="B180" s="70"/>
      <c r="C180" s="488" t="s">
        <v>250</v>
      </c>
      <c r="D180" s="488" t="s">
        <v>209</v>
      </c>
      <c r="E180" s="488" t="s">
        <v>246</v>
      </c>
      <c r="F180" s="196" t="s">
        <v>247</v>
      </c>
      <c r="G180" s="35"/>
    </row>
    <row r="181" spans="1:7" ht="12.75">
      <c r="A181" s="217"/>
      <c r="B181" s="70"/>
      <c r="C181" s="104">
        <v>9.2</v>
      </c>
      <c r="D181" s="104">
        <v>22.35</v>
      </c>
      <c r="E181" s="104">
        <v>0.5</v>
      </c>
      <c r="F181" s="223">
        <f>(((C181+(E181*2))*((D181+(E181*2)))))</f>
        <v>238.17</v>
      </c>
      <c r="G181" s="35"/>
    </row>
    <row r="182" spans="1:7" ht="12.75">
      <c r="A182" s="217"/>
      <c r="B182" s="70"/>
      <c r="C182" s="70"/>
      <c r="D182" s="70"/>
      <c r="E182" s="70"/>
      <c r="F182" s="34"/>
      <c r="G182" s="35"/>
    </row>
    <row r="183" spans="1:7" ht="12.75">
      <c r="A183" s="217"/>
      <c r="B183" s="70"/>
      <c r="C183" s="70"/>
      <c r="D183" s="488" t="s">
        <v>36</v>
      </c>
      <c r="E183" s="488" t="s">
        <v>248</v>
      </c>
      <c r="F183" s="190"/>
      <c r="G183" s="35"/>
    </row>
    <row r="184" spans="1:7" ht="13.5" thickBot="1">
      <c r="A184" s="217"/>
      <c r="B184" s="70"/>
      <c r="C184" s="70"/>
      <c r="D184" s="225">
        <v>0.3</v>
      </c>
      <c r="E184" s="76">
        <v>1.044</v>
      </c>
      <c r="F184" s="193"/>
      <c r="G184" s="35"/>
    </row>
    <row r="185" spans="1:7" ht="13.5" thickBot="1">
      <c r="A185" s="217"/>
      <c r="B185" s="70"/>
      <c r="C185" s="70"/>
      <c r="D185" s="224"/>
      <c r="E185" s="226" t="s">
        <v>2</v>
      </c>
      <c r="F185" s="212">
        <f>F181*E184</f>
        <v>248.65</v>
      </c>
      <c r="G185" s="35"/>
    </row>
    <row r="186" spans="1:7" ht="12.75">
      <c r="A186" s="217"/>
      <c r="B186" s="70"/>
      <c r="C186" s="70"/>
      <c r="D186" s="224"/>
      <c r="E186" s="259"/>
      <c r="F186" s="260"/>
      <c r="G186" s="35"/>
    </row>
    <row r="187" spans="1:7" ht="12.75">
      <c r="A187" s="217"/>
      <c r="B187" s="70"/>
      <c r="C187" s="579" t="s">
        <v>233</v>
      </c>
      <c r="D187" s="579"/>
      <c r="E187" s="579"/>
      <c r="F187" s="579"/>
      <c r="G187" s="35"/>
    </row>
    <row r="188" spans="1:7" ht="12.75">
      <c r="A188" s="217"/>
      <c r="B188" s="70"/>
      <c r="C188" s="488" t="s">
        <v>250</v>
      </c>
      <c r="D188" s="488" t="s">
        <v>209</v>
      </c>
      <c r="E188" s="488" t="s">
        <v>246</v>
      </c>
      <c r="F188" s="196" t="s">
        <v>247</v>
      </c>
      <c r="G188" s="35"/>
    </row>
    <row r="189" spans="1:13" ht="12.75">
      <c r="A189" s="217"/>
      <c r="B189" s="70"/>
      <c r="C189" s="104">
        <v>1.2</v>
      </c>
      <c r="D189" s="104">
        <v>2.3</v>
      </c>
      <c r="E189" s="104">
        <v>0.5</v>
      </c>
      <c r="F189" s="223">
        <f>(((C189+(E189*2))*((D189+(E189*2)))))</f>
        <v>7.26</v>
      </c>
      <c r="G189" s="35"/>
      <c r="M189" s="59" t="s">
        <v>419</v>
      </c>
    </row>
    <row r="190" spans="1:7" ht="12.75">
      <c r="A190" s="217"/>
      <c r="B190" s="70"/>
      <c r="C190" s="70"/>
      <c r="D190" s="224"/>
      <c r="E190" s="70"/>
      <c r="F190" s="34"/>
      <c r="G190" s="35"/>
    </row>
    <row r="191" spans="1:7" ht="12.75">
      <c r="A191" s="217"/>
      <c r="B191" s="70"/>
      <c r="C191" s="70"/>
      <c r="D191" s="488" t="s">
        <v>36</v>
      </c>
      <c r="E191" s="488" t="s">
        <v>248</v>
      </c>
      <c r="F191" s="190"/>
      <c r="G191" s="35"/>
    </row>
    <row r="192" spans="1:7" ht="13.5" thickBot="1">
      <c r="A192" s="217"/>
      <c r="B192" s="70"/>
      <c r="C192" s="70"/>
      <c r="D192" s="225">
        <v>0.3</v>
      </c>
      <c r="E192" s="76">
        <v>1.044</v>
      </c>
      <c r="F192" s="193"/>
      <c r="G192" s="35"/>
    </row>
    <row r="193" spans="1:7" ht="13.5" thickBot="1">
      <c r="A193" s="217"/>
      <c r="B193" s="70"/>
      <c r="C193" s="70"/>
      <c r="D193" s="224"/>
      <c r="E193" s="226" t="s">
        <v>2</v>
      </c>
      <c r="F193" s="212">
        <f>F189*E192</f>
        <v>7.58</v>
      </c>
      <c r="G193" s="35"/>
    </row>
    <row r="194" spans="1:7" ht="13.5" thickBot="1">
      <c r="A194" s="217"/>
      <c r="B194" s="52"/>
      <c r="C194" s="489"/>
      <c r="D194" s="489"/>
      <c r="E194" s="489"/>
      <c r="F194" s="34"/>
      <c r="G194" s="35"/>
    </row>
    <row r="195" spans="1:7" ht="13.5" thickBot="1">
      <c r="A195" s="227" t="s">
        <v>471</v>
      </c>
      <c r="B195" s="565" t="str">
        <f>Planilha!C27</f>
        <v>REMOÇÃO MANUAL DE BANCADA DE PEDRA (MÁRMORE, GRANITO, ARDÓSIA, MARMORITE, ETC.), COM REAPROVEITAMENTO, INCLUSIVE RASGO EM ALVENARIA, REMOÇÃO DE ACESSÓRIOS DE FIXAÇÃO, AFASTAMENTO E EMPILHAMENTO, EXCLUSIVE TRANSPORTE E RETIRADA DO MATERIAL REMOVIDO NÃO REAPROVEITÁVEL</v>
      </c>
      <c r="C195" s="566"/>
      <c r="D195" s="566"/>
      <c r="E195" s="567"/>
      <c r="F195" s="80">
        <f>E200</f>
        <v>3.66</v>
      </c>
      <c r="G195" s="220" t="s">
        <v>94</v>
      </c>
    </row>
    <row r="196" spans="1:7" ht="12.75">
      <c r="A196" s="217"/>
      <c r="B196" s="52"/>
      <c r="C196" s="489"/>
      <c r="D196" s="489"/>
      <c r="E196" s="489"/>
      <c r="F196" s="34"/>
      <c r="G196" s="35"/>
    </row>
    <row r="197" spans="1:7" ht="12.75">
      <c r="A197" s="217"/>
      <c r="B197" s="191" t="s">
        <v>20</v>
      </c>
      <c r="C197" s="191" t="s">
        <v>227</v>
      </c>
      <c r="D197" s="202" t="s">
        <v>220</v>
      </c>
      <c r="E197" s="191" t="s">
        <v>228</v>
      </c>
      <c r="F197" s="34"/>
      <c r="G197" s="35"/>
    </row>
    <row r="198" spans="1:7" ht="12.75">
      <c r="A198" s="217"/>
      <c r="B198" s="229" t="s">
        <v>201</v>
      </c>
      <c r="C198" s="92">
        <v>0.6</v>
      </c>
      <c r="D198" s="92">
        <v>3.2</v>
      </c>
      <c r="E198" s="86">
        <f>C198*D198</f>
        <v>1.92</v>
      </c>
      <c r="F198" s="34"/>
      <c r="G198" s="35"/>
    </row>
    <row r="199" spans="1:7" ht="13.5" thickBot="1">
      <c r="A199" s="217"/>
      <c r="B199" s="229" t="s">
        <v>205</v>
      </c>
      <c r="C199" s="92">
        <v>0.6</v>
      </c>
      <c r="D199" s="86">
        <v>2.9</v>
      </c>
      <c r="E199" s="86">
        <f>C199*D199</f>
        <v>1.74</v>
      </c>
      <c r="F199" s="34"/>
      <c r="G199" s="35"/>
    </row>
    <row r="200" spans="1:7" ht="13.5" thickBot="1">
      <c r="A200" s="217"/>
      <c r="B200" s="52"/>
      <c r="C200" s="489"/>
      <c r="D200" s="195" t="s">
        <v>249</v>
      </c>
      <c r="E200" s="195">
        <f>SUM(E198:E199)</f>
        <v>3.66</v>
      </c>
      <c r="F200" s="34"/>
      <c r="G200" s="35"/>
    </row>
    <row r="201" spans="1:7" ht="12.75">
      <c r="A201" s="33"/>
      <c r="B201" s="34"/>
      <c r="C201" s="34"/>
      <c r="D201" s="489"/>
      <c r="E201" s="37"/>
      <c r="F201" s="34"/>
      <c r="G201" s="35"/>
    </row>
    <row r="202" spans="1:7" ht="13.5" thickBot="1">
      <c r="A202" s="217"/>
      <c r="B202" s="52"/>
      <c r="C202" s="489"/>
      <c r="D202" s="489"/>
      <c r="E202" s="489"/>
      <c r="F202" s="34"/>
      <c r="G202" s="35"/>
    </row>
    <row r="203" spans="1:7" ht="14.25" thickBot="1">
      <c r="A203" s="232">
        <v>4</v>
      </c>
      <c r="B203" s="605" t="s">
        <v>254</v>
      </c>
      <c r="C203" s="606"/>
      <c r="D203" s="606"/>
      <c r="E203" s="606"/>
      <c r="F203" s="606"/>
      <c r="G203" s="607"/>
    </row>
    <row r="204" spans="1:7" ht="14.25" thickBot="1">
      <c r="A204" s="406"/>
      <c r="B204" s="236"/>
      <c r="C204" s="233"/>
      <c r="D204" s="233"/>
      <c r="E204" s="233"/>
      <c r="F204" s="234"/>
      <c r="G204" s="235"/>
    </row>
    <row r="205" spans="1:7" ht="13.5" thickBot="1">
      <c r="A205" s="80" t="s">
        <v>491</v>
      </c>
      <c r="B205" s="548" t="s">
        <v>56</v>
      </c>
      <c r="C205" s="549"/>
      <c r="D205" s="549"/>
      <c r="E205" s="550"/>
      <c r="F205" s="81">
        <f>F218</f>
        <v>63.8</v>
      </c>
      <c r="G205" s="80" t="s">
        <v>94</v>
      </c>
    </row>
    <row r="206" spans="1:7" ht="12.75">
      <c r="A206" s="46"/>
      <c r="B206" s="34"/>
      <c r="C206" s="34"/>
      <c r="D206" s="34"/>
      <c r="E206" s="45"/>
      <c r="F206" s="34"/>
      <c r="G206" s="35"/>
    </row>
    <row r="207" spans="1:7" ht="12.75">
      <c r="A207" s="598"/>
      <c r="B207" s="112" t="s">
        <v>20</v>
      </c>
      <c r="C207" s="112" t="s">
        <v>21</v>
      </c>
      <c r="D207" s="112" t="s">
        <v>22</v>
      </c>
      <c r="E207" s="228" t="s">
        <v>24</v>
      </c>
      <c r="F207" s="373" t="s">
        <v>418</v>
      </c>
      <c r="G207" s="407"/>
    </row>
    <row r="208" spans="1:7" ht="12.75">
      <c r="A208" s="598"/>
      <c r="B208" s="101" t="s">
        <v>258</v>
      </c>
      <c r="C208" s="106">
        <v>2.9</v>
      </c>
      <c r="D208" s="106">
        <v>3</v>
      </c>
      <c r="E208" s="375">
        <v>1</v>
      </c>
      <c r="F208" s="257">
        <f aca="true" t="shared" si="6" ref="F208:F216">C208*D208*E208</f>
        <v>8.7</v>
      </c>
      <c r="G208" s="355"/>
    </row>
    <row r="209" spans="1:7" ht="12.75">
      <c r="A209" s="598"/>
      <c r="B209" s="101" t="s">
        <v>259</v>
      </c>
      <c r="C209" s="106">
        <v>2</v>
      </c>
      <c r="D209" s="106">
        <v>3</v>
      </c>
      <c r="E209" s="375">
        <v>1</v>
      </c>
      <c r="F209" s="257">
        <f t="shared" si="6"/>
        <v>6</v>
      </c>
      <c r="G209" s="355"/>
    </row>
    <row r="210" spans="1:7" ht="12.75">
      <c r="A210" s="598"/>
      <c r="B210" s="101" t="s">
        <v>206</v>
      </c>
      <c r="C210" s="106">
        <v>2.6</v>
      </c>
      <c r="D210" s="106">
        <v>3</v>
      </c>
      <c r="E210" s="375">
        <v>1</v>
      </c>
      <c r="F210" s="257">
        <f t="shared" si="6"/>
        <v>7.8</v>
      </c>
      <c r="G210" s="355"/>
    </row>
    <row r="211" spans="1:7" ht="12.75">
      <c r="A211" s="598"/>
      <c r="B211" s="101" t="s">
        <v>222</v>
      </c>
      <c r="C211" s="106">
        <v>3.3</v>
      </c>
      <c r="D211" s="106">
        <v>3</v>
      </c>
      <c r="E211" s="375">
        <v>1</v>
      </c>
      <c r="F211" s="257">
        <f t="shared" si="6"/>
        <v>9.9</v>
      </c>
      <c r="G211" s="355"/>
    </row>
    <row r="212" spans="1:7" ht="12.75">
      <c r="A212" s="598"/>
      <c r="B212" s="101" t="s">
        <v>388</v>
      </c>
      <c r="C212" s="106">
        <v>3.3</v>
      </c>
      <c r="D212" s="106">
        <v>3</v>
      </c>
      <c r="E212" s="375">
        <v>1</v>
      </c>
      <c r="F212" s="257">
        <f t="shared" si="6"/>
        <v>9.9</v>
      </c>
      <c r="G212" s="355"/>
    </row>
    <row r="213" spans="1:7" ht="12.75">
      <c r="A213" s="598"/>
      <c r="B213" s="101" t="s">
        <v>203</v>
      </c>
      <c r="C213" s="106">
        <v>1.6</v>
      </c>
      <c r="D213" s="106">
        <v>3</v>
      </c>
      <c r="E213" s="375">
        <v>1</v>
      </c>
      <c r="F213" s="257">
        <f t="shared" si="6"/>
        <v>4.8</v>
      </c>
      <c r="G213" s="355"/>
    </row>
    <row r="214" spans="1:7" ht="15" customHeight="1">
      <c r="A214" s="598"/>
      <c r="B214" s="101" t="s">
        <v>252</v>
      </c>
      <c r="C214" s="106">
        <v>2.05</v>
      </c>
      <c r="D214" s="106">
        <v>3</v>
      </c>
      <c r="E214" s="375">
        <v>1</v>
      </c>
      <c r="F214" s="257">
        <f t="shared" si="6"/>
        <v>6.15</v>
      </c>
      <c r="G214" s="355"/>
    </row>
    <row r="215" spans="1:7" ht="15" customHeight="1">
      <c r="A215" s="485"/>
      <c r="B215" s="101" t="s">
        <v>207</v>
      </c>
      <c r="C215" s="106">
        <v>0.8</v>
      </c>
      <c r="D215" s="106">
        <v>2.1</v>
      </c>
      <c r="E215" s="375">
        <v>1</v>
      </c>
      <c r="F215" s="257">
        <f t="shared" si="6"/>
        <v>1.68</v>
      </c>
      <c r="G215" s="355"/>
    </row>
    <row r="216" spans="1:7" ht="15" customHeight="1">
      <c r="A216" s="486"/>
      <c r="B216" s="254" t="s">
        <v>201</v>
      </c>
      <c r="C216" s="357">
        <v>1.2</v>
      </c>
      <c r="D216" s="230">
        <v>2.1</v>
      </c>
      <c r="E216" s="376">
        <v>1</v>
      </c>
      <c r="F216" s="257">
        <f t="shared" si="6"/>
        <v>2.52</v>
      </c>
      <c r="G216" s="355"/>
    </row>
    <row r="217" spans="1:7" ht="15" customHeight="1" thickBot="1">
      <c r="A217" s="486"/>
      <c r="B217" s="101" t="s">
        <v>278</v>
      </c>
      <c r="C217" s="109">
        <v>9.2</v>
      </c>
      <c r="D217" s="109">
        <v>1.38</v>
      </c>
      <c r="E217" s="377">
        <v>1</v>
      </c>
      <c r="F217" s="374">
        <f>C217*D217/2</f>
        <v>6.35</v>
      </c>
      <c r="G217" s="355"/>
    </row>
    <row r="218" spans="1:7" ht="16.5" customHeight="1" thickBot="1">
      <c r="A218" s="33"/>
      <c r="B218" s="34"/>
      <c r="C218" s="34"/>
      <c r="D218" s="34"/>
      <c r="E218" s="78" t="s">
        <v>2</v>
      </c>
      <c r="F218" s="205">
        <f>SUM(F208:F217)</f>
        <v>63.8</v>
      </c>
      <c r="G218" s="55"/>
    </row>
    <row r="219" spans="1:7" ht="16.5" customHeight="1" thickBot="1">
      <c r="A219" s="47"/>
      <c r="B219" s="34"/>
      <c r="C219" s="34"/>
      <c r="D219" s="34"/>
      <c r="E219" s="45"/>
      <c r="F219" s="34"/>
      <c r="G219" s="61" t="s">
        <v>31</v>
      </c>
    </row>
    <row r="220" spans="1:7" ht="16.5" customHeight="1" thickBot="1">
      <c r="A220" s="80" t="s">
        <v>492</v>
      </c>
      <c r="B220" s="548" t="str">
        <f>Planilha!C30</f>
        <v>VERGA PRÉ-MOLDADA PARA JANELAS COM ATÉ 1,5 M DE VÃO. AF_03/2016</v>
      </c>
      <c r="C220" s="549"/>
      <c r="D220" s="549"/>
      <c r="E220" s="550"/>
      <c r="F220" s="81">
        <f>E232</f>
        <v>17.1</v>
      </c>
      <c r="G220" s="80" t="s">
        <v>25</v>
      </c>
    </row>
    <row r="221" spans="1:7" ht="12.75">
      <c r="A221" s="65"/>
      <c r="B221" s="34"/>
      <c r="C221" s="34"/>
      <c r="D221" s="34"/>
      <c r="E221" s="45"/>
      <c r="F221" s="34"/>
      <c r="G221" s="35"/>
    </row>
    <row r="222" spans="1:7" ht="16.5" customHeight="1">
      <c r="A222" s="485"/>
      <c r="B222" s="112" t="s">
        <v>20</v>
      </c>
      <c r="C222" s="197" t="s">
        <v>26</v>
      </c>
      <c r="D222" s="112" t="s">
        <v>24</v>
      </c>
      <c r="E222" s="112" t="s">
        <v>34</v>
      </c>
      <c r="F222" s="52"/>
      <c r="G222" s="35"/>
    </row>
    <row r="223" spans="1:7" ht="16.5" customHeight="1">
      <c r="A223" s="485"/>
      <c r="B223" s="101" t="s">
        <v>208</v>
      </c>
      <c r="C223" s="106">
        <v>1.9</v>
      </c>
      <c r="D223" s="106">
        <v>1</v>
      </c>
      <c r="E223" s="105">
        <f>C223*D223</f>
        <v>1.9</v>
      </c>
      <c r="F223" s="52"/>
      <c r="G223" s="35"/>
    </row>
    <row r="224" spans="1:7" ht="17.25" customHeight="1">
      <c r="A224" s="485"/>
      <c r="B224" s="101" t="s">
        <v>211</v>
      </c>
      <c r="C224" s="106">
        <v>1.9</v>
      </c>
      <c r="D224" s="106">
        <v>1</v>
      </c>
      <c r="E224" s="105">
        <f aca="true" t="shared" si="7" ref="E224:E231">C224*D224</f>
        <v>1.9</v>
      </c>
      <c r="F224" s="52"/>
      <c r="G224" s="35"/>
    </row>
    <row r="225" spans="1:8" ht="15" customHeight="1">
      <c r="A225" s="485"/>
      <c r="B225" s="101" t="s">
        <v>417</v>
      </c>
      <c r="C225" s="106">
        <v>1.9</v>
      </c>
      <c r="D225" s="106">
        <v>1</v>
      </c>
      <c r="E225" s="105">
        <f t="shared" si="7"/>
        <v>1.9</v>
      </c>
      <c r="F225" s="52"/>
      <c r="G225" s="35"/>
      <c r="H225" s="52"/>
    </row>
    <row r="226" spans="1:7" ht="12.75">
      <c r="A226" s="485"/>
      <c r="B226" s="101" t="s">
        <v>213</v>
      </c>
      <c r="C226" s="106">
        <v>1.9</v>
      </c>
      <c r="D226" s="106">
        <v>1</v>
      </c>
      <c r="E226" s="105">
        <f t="shared" si="7"/>
        <v>1.9</v>
      </c>
      <c r="F226" s="52"/>
      <c r="G226" s="35"/>
    </row>
    <row r="227" spans="1:7" ht="13.5" customHeight="1">
      <c r="A227" s="485"/>
      <c r="B227" s="101" t="s">
        <v>206</v>
      </c>
      <c r="C227" s="106">
        <v>1.9</v>
      </c>
      <c r="D227" s="106">
        <v>1</v>
      </c>
      <c r="E227" s="105">
        <f t="shared" si="7"/>
        <v>1.9</v>
      </c>
      <c r="F227" s="52"/>
      <c r="G227" s="35"/>
    </row>
    <row r="228" spans="1:7" ht="12.75">
      <c r="A228" s="485"/>
      <c r="B228" s="101" t="s">
        <v>216</v>
      </c>
      <c r="C228" s="106">
        <v>1.9</v>
      </c>
      <c r="D228" s="106">
        <v>1</v>
      </c>
      <c r="E228" s="105">
        <f t="shared" si="7"/>
        <v>1.9</v>
      </c>
      <c r="F228" s="52"/>
      <c r="G228" s="35"/>
    </row>
    <row r="229" spans="1:7" ht="15" customHeight="1">
      <c r="A229" s="485"/>
      <c r="B229" s="101" t="s">
        <v>222</v>
      </c>
      <c r="C229" s="106">
        <v>1.9</v>
      </c>
      <c r="D229" s="106">
        <v>1</v>
      </c>
      <c r="E229" s="105">
        <f t="shared" si="7"/>
        <v>1.9</v>
      </c>
      <c r="F229" s="52"/>
      <c r="G229" s="35"/>
    </row>
    <row r="230" spans="1:7" ht="15" customHeight="1">
      <c r="A230" s="485"/>
      <c r="B230" s="101" t="s">
        <v>207</v>
      </c>
      <c r="C230" s="106">
        <v>1.9</v>
      </c>
      <c r="D230" s="106">
        <v>1</v>
      </c>
      <c r="E230" s="105">
        <f t="shared" si="7"/>
        <v>1.9</v>
      </c>
      <c r="F230" s="52"/>
      <c r="G230" s="35"/>
    </row>
    <row r="231" spans="1:7" ht="15" customHeight="1" thickBot="1">
      <c r="A231" s="485"/>
      <c r="B231" s="101" t="s">
        <v>205</v>
      </c>
      <c r="C231" s="106">
        <v>1.9</v>
      </c>
      <c r="D231" s="230">
        <v>1</v>
      </c>
      <c r="E231" s="231">
        <f t="shared" si="7"/>
        <v>1.9</v>
      </c>
      <c r="F231" s="52"/>
      <c r="G231" s="35"/>
    </row>
    <row r="232" spans="1:7" ht="15" customHeight="1" thickBot="1">
      <c r="A232" s="485"/>
      <c r="B232" s="491"/>
      <c r="C232" s="34"/>
      <c r="D232" s="195" t="s">
        <v>2</v>
      </c>
      <c r="E232" s="205">
        <f>SUM(E223:E231)</f>
        <v>17.1</v>
      </c>
      <c r="F232" s="52"/>
      <c r="G232" s="35"/>
    </row>
    <row r="233" spans="1:7" ht="15" customHeight="1" thickBot="1">
      <c r="A233" s="47"/>
      <c r="B233" s="34"/>
      <c r="C233" s="34"/>
      <c r="D233" s="34"/>
      <c r="E233" s="45"/>
      <c r="F233" s="34"/>
      <c r="G233" s="61" t="s">
        <v>31</v>
      </c>
    </row>
    <row r="234" spans="1:7" ht="15" customHeight="1" thickBot="1">
      <c r="A234" s="80" t="s">
        <v>493</v>
      </c>
      <c r="B234" s="548" t="str">
        <f>Planilha!C31</f>
        <v>CONTRAVERGA PRÉ-MOLDADA PARA VÃOS DE ATÉ 1,5 M DE COMPRIMENTO. AF_03/2016</v>
      </c>
      <c r="C234" s="549"/>
      <c r="D234" s="549"/>
      <c r="E234" s="550"/>
      <c r="F234" s="81">
        <f>E246</f>
        <v>17.1</v>
      </c>
      <c r="G234" s="80" t="s">
        <v>25</v>
      </c>
    </row>
    <row r="235" spans="1:7" ht="15" customHeight="1">
      <c r="A235" s="65"/>
      <c r="B235" s="34"/>
      <c r="C235" s="34"/>
      <c r="D235" s="34"/>
      <c r="E235" s="45"/>
      <c r="F235" s="34"/>
      <c r="G235" s="35"/>
    </row>
    <row r="236" spans="1:7" ht="15" customHeight="1">
      <c r="A236" s="485"/>
      <c r="B236" s="112" t="s">
        <v>20</v>
      </c>
      <c r="C236" s="197" t="s">
        <v>26</v>
      </c>
      <c r="D236" s="112" t="s">
        <v>24</v>
      </c>
      <c r="E236" s="112" t="s">
        <v>34</v>
      </c>
      <c r="F236" s="52"/>
      <c r="G236" s="35"/>
    </row>
    <row r="237" spans="1:7" ht="15" customHeight="1">
      <c r="A237" s="485"/>
      <c r="B237" s="101" t="s">
        <v>208</v>
      </c>
      <c r="C237" s="106">
        <v>1.9</v>
      </c>
      <c r="D237" s="106">
        <v>1</v>
      </c>
      <c r="E237" s="105">
        <f>C237*D237</f>
        <v>1.9</v>
      </c>
      <c r="F237" s="52"/>
      <c r="G237" s="35"/>
    </row>
    <row r="238" spans="1:7" ht="15" customHeight="1">
      <c r="A238" s="485"/>
      <c r="B238" s="101" t="s">
        <v>211</v>
      </c>
      <c r="C238" s="106">
        <v>1.9</v>
      </c>
      <c r="D238" s="106">
        <v>1</v>
      </c>
      <c r="E238" s="105">
        <f aca="true" t="shared" si="8" ref="E238:E245">C238*D238</f>
        <v>1.9</v>
      </c>
      <c r="F238" s="52"/>
      <c r="G238" s="35"/>
    </row>
    <row r="239" spans="1:8" ht="15.75" customHeight="1">
      <c r="A239" s="485"/>
      <c r="B239" s="101" t="s">
        <v>417</v>
      </c>
      <c r="C239" s="106">
        <v>1.9</v>
      </c>
      <c r="D239" s="106">
        <v>1</v>
      </c>
      <c r="E239" s="105">
        <f t="shared" si="8"/>
        <v>1.9</v>
      </c>
      <c r="F239" s="52"/>
      <c r="G239" s="35"/>
      <c r="H239" s="52"/>
    </row>
    <row r="240" spans="1:7" ht="12.75">
      <c r="A240" s="485"/>
      <c r="B240" s="101" t="s">
        <v>213</v>
      </c>
      <c r="C240" s="106">
        <v>1.9</v>
      </c>
      <c r="D240" s="106">
        <v>1</v>
      </c>
      <c r="E240" s="105">
        <f t="shared" si="8"/>
        <v>1.9</v>
      </c>
      <c r="F240" s="52"/>
      <c r="G240" s="35"/>
    </row>
    <row r="241" spans="1:7" ht="13.5" customHeight="1">
      <c r="A241" s="485"/>
      <c r="B241" s="101" t="s">
        <v>206</v>
      </c>
      <c r="C241" s="106">
        <v>1.9</v>
      </c>
      <c r="D241" s="106">
        <v>1</v>
      </c>
      <c r="E241" s="105">
        <f t="shared" si="8"/>
        <v>1.9</v>
      </c>
      <c r="F241" s="52"/>
      <c r="G241" s="35"/>
    </row>
    <row r="242" spans="1:7" ht="12.75">
      <c r="A242" s="485"/>
      <c r="B242" s="101" t="s">
        <v>216</v>
      </c>
      <c r="C242" s="106">
        <v>1.9</v>
      </c>
      <c r="D242" s="106">
        <v>1</v>
      </c>
      <c r="E242" s="105">
        <f t="shared" si="8"/>
        <v>1.9</v>
      </c>
      <c r="F242" s="52"/>
      <c r="G242" s="35"/>
    </row>
    <row r="243" spans="1:7" ht="15" customHeight="1">
      <c r="A243" s="485"/>
      <c r="B243" s="101" t="s">
        <v>222</v>
      </c>
      <c r="C243" s="106">
        <v>1.9</v>
      </c>
      <c r="D243" s="106">
        <v>1</v>
      </c>
      <c r="E243" s="105">
        <f t="shared" si="8"/>
        <v>1.9</v>
      </c>
      <c r="F243" s="52"/>
      <c r="G243" s="35"/>
    </row>
    <row r="244" spans="1:7" ht="15" customHeight="1">
      <c r="A244" s="485"/>
      <c r="B244" s="101" t="s">
        <v>207</v>
      </c>
      <c r="C244" s="106">
        <v>1.9</v>
      </c>
      <c r="D244" s="106">
        <v>1</v>
      </c>
      <c r="E244" s="105">
        <f t="shared" si="8"/>
        <v>1.9</v>
      </c>
      <c r="F244" s="52"/>
      <c r="G244" s="35"/>
    </row>
    <row r="245" spans="1:7" ht="15" customHeight="1" thickBot="1">
      <c r="A245" s="485"/>
      <c r="B245" s="101" t="s">
        <v>205</v>
      </c>
      <c r="C245" s="106">
        <v>1.9</v>
      </c>
      <c r="D245" s="106">
        <v>1</v>
      </c>
      <c r="E245" s="105">
        <f t="shared" si="8"/>
        <v>1.9</v>
      </c>
      <c r="F245" s="52"/>
      <c r="G245" s="35"/>
    </row>
    <row r="246" spans="1:7" ht="15" customHeight="1" thickBot="1">
      <c r="A246" s="485"/>
      <c r="B246" s="491"/>
      <c r="C246" s="34"/>
      <c r="D246" s="195" t="s">
        <v>2</v>
      </c>
      <c r="E246" s="205">
        <f>SUM(E237:E245)</f>
        <v>17.1</v>
      </c>
      <c r="F246" s="52"/>
      <c r="G246" s="35"/>
    </row>
    <row r="247" spans="1:7" ht="15" customHeight="1">
      <c r="A247" s="485"/>
      <c r="B247" s="491"/>
      <c r="C247" s="34"/>
      <c r="D247" s="489"/>
      <c r="E247" s="37"/>
      <c r="F247" s="52"/>
      <c r="G247" s="35"/>
    </row>
    <row r="248" spans="1:7" ht="15" customHeight="1" thickBot="1">
      <c r="A248" s="47"/>
      <c r="B248" s="34"/>
      <c r="C248" s="34"/>
      <c r="D248" s="34"/>
      <c r="E248" s="45"/>
      <c r="F248" s="34"/>
      <c r="G248" s="61" t="s">
        <v>31</v>
      </c>
    </row>
    <row r="249" spans="1:11" ht="15" customHeight="1" thickBot="1">
      <c r="A249" s="80" t="s">
        <v>494</v>
      </c>
      <c r="B249" s="548" t="str">
        <f>Planilha!C32</f>
        <v>VERGA PRÉ-MOLDADA PARA PORTAS COM ATÉ 1,5 M DE VÃO. AF_03/2016</v>
      </c>
      <c r="C249" s="549"/>
      <c r="D249" s="549"/>
      <c r="E249" s="550"/>
      <c r="F249" s="81">
        <f>E271</f>
        <v>24.15</v>
      </c>
      <c r="G249" s="80" t="s">
        <v>25</v>
      </c>
      <c r="J249" s="52"/>
      <c r="K249" s="52"/>
    </row>
    <row r="250" spans="1:11" ht="15" customHeight="1">
      <c r="A250" s="65"/>
      <c r="B250" s="34"/>
      <c r="C250" s="34"/>
      <c r="D250" s="34"/>
      <c r="E250" s="45"/>
      <c r="F250" s="34"/>
      <c r="G250" s="35"/>
      <c r="J250" s="52"/>
      <c r="K250" s="52"/>
    </row>
    <row r="251" spans="1:11" ht="15" customHeight="1">
      <c r="A251" s="485"/>
      <c r="B251" s="112" t="s">
        <v>20</v>
      </c>
      <c r="C251" s="197" t="s">
        <v>26</v>
      </c>
      <c r="D251" s="112" t="s">
        <v>24</v>
      </c>
      <c r="E251" s="112" t="s">
        <v>34</v>
      </c>
      <c r="F251" s="52"/>
      <c r="G251" s="35"/>
      <c r="J251" s="52"/>
      <c r="K251" s="52"/>
    </row>
    <row r="252" spans="1:11" ht="15" customHeight="1">
      <c r="A252" s="485"/>
      <c r="B252" s="101" t="s">
        <v>208</v>
      </c>
      <c r="C252" s="106">
        <v>1.15</v>
      </c>
      <c r="D252" s="106">
        <v>1</v>
      </c>
      <c r="E252" s="105">
        <f aca="true" t="shared" si="9" ref="E252:E263">C252*D252</f>
        <v>1.15</v>
      </c>
      <c r="F252" s="52"/>
      <c r="G252" s="35"/>
      <c r="J252" s="52"/>
      <c r="K252" s="52"/>
    </row>
    <row r="253" spans="1:11" ht="15" customHeight="1">
      <c r="A253" s="485"/>
      <c r="B253" s="101" t="s">
        <v>211</v>
      </c>
      <c r="C253" s="106">
        <v>1.15</v>
      </c>
      <c r="D253" s="106">
        <v>1</v>
      </c>
      <c r="E253" s="105">
        <f t="shared" si="9"/>
        <v>1.15</v>
      </c>
      <c r="F253" s="52"/>
      <c r="G253" s="35"/>
      <c r="J253" s="52"/>
      <c r="K253" s="52"/>
    </row>
    <row r="254" spans="1:11" ht="15.75" customHeight="1">
      <c r="A254" s="485"/>
      <c r="B254" s="101" t="s">
        <v>417</v>
      </c>
      <c r="C254" s="106">
        <v>1.15</v>
      </c>
      <c r="D254" s="106">
        <v>1</v>
      </c>
      <c r="E254" s="105">
        <f t="shared" si="9"/>
        <v>1.15</v>
      </c>
      <c r="F254" s="52"/>
      <c r="G254" s="35"/>
      <c r="H254" s="397"/>
      <c r="J254" s="52"/>
      <c r="K254" s="52"/>
    </row>
    <row r="255" spans="1:7" ht="12.75">
      <c r="A255" s="485"/>
      <c r="B255" s="101" t="s">
        <v>213</v>
      </c>
      <c r="C255" s="106">
        <v>1.15</v>
      </c>
      <c r="D255" s="106">
        <v>1</v>
      </c>
      <c r="E255" s="105">
        <f t="shared" si="9"/>
        <v>1.15</v>
      </c>
      <c r="F255" s="52"/>
      <c r="G255" s="35"/>
    </row>
    <row r="256" spans="1:7" ht="13.5" customHeight="1">
      <c r="A256" s="485"/>
      <c r="B256" s="101" t="s">
        <v>255</v>
      </c>
      <c r="C256" s="106">
        <v>1.15</v>
      </c>
      <c r="D256" s="106">
        <v>2</v>
      </c>
      <c r="E256" s="105">
        <f>C256*D256</f>
        <v>2.3</v>
      </c>
      <c r="F256" s="52"/>
      <c r="G256" s="35"/>
    </row>
    <row r="257" spans="1:7" ht="12.75">
      <c r="A257" s="485"/>
      <c r="B257" s="101" t="s">
        <v>206</v>
      </c>
      <c r="C257" s="106">
        <v>1.15</v>
      </c>
      <c r="D257" s="106">
        <v>1</v>
      </c>
      <c r="E257" s="105">
        <f t="shared" si="9"/>
        <v>1.15</v>
      </c>
      <c r="F257" s="52"/>
      <c r="G257" s="35"/>
    </row>
    <row r="258" spans="1:7" ht="15" customHeight="1">
      <c r="A258" s="485"/>
      <c r="B258" s="101" t="s">
        <v>413</v>
      </c>
      <c r="C258" s="106">
        <v>1.15</v>
      </c>
      <c r="D258" s="106">
        <v>1</v>
      </c>
      <c r="E258" s="105">
        <f t="shared" si="9"/>
        <v>1.15</v>
      </c>
      <c r="F258" s="52"/>
      <c r="G258" s="35"/>
    </row>
    <row r="259" spans="1:7" ht="15" customHeight="1">
      <c r="A259" s="485"/>
      <c r="B259" s="101" t="s">
        <v>216</v>
      </c>
      <c r="C259" s="106">
        <v>1.15</v>
      </c>
      <c r="D259" s="106">
        <v>1</v>
      </c>
      <c r="E259" s="105">
        <f t="shared" si="9"/>
        <v>1.15</v>
      </c>
      <c r="F259" s="52"/>
      <c r="G259" s="35"/>
    </row>
    <row r="260" spans="1:7" ht="15" customHeight="1">
      <c r="A260" s="485"/>
      <c r="B260" s="101" t="s">
        <v>203</v>
      </c>
      <c r="C260" s="106">
        <v>1.15</v>
      </c>
      <c r="D260" s="106">
        <v>1</v>
      </c>
      <c r="E260" s="105">
        <f t="shared" si="9"/>
        <v>1.15</v>
      </c>
      <c r="F260" s="52"/>
      <c r="G260" s="35"/>
    </row>
    <row r="261" spans="1:7" ht="15" customHeight="1">
      <c r="A261" s="485"/>
      <c r="B261" s="101" t="s">
        <v>222</v>
      </c>
      <c r="C261" s="106">
        <v>1.15</v>
      </c>
      <c r="D261" s="106">
        <v>1</v>
      </c>
      <c r="E261" s="105">
        <f t="shared" si="9"/>
        <v>1.15</v>
      </c>
      <c r="F261" s="52"/>
      <c r="G261" s="35"/>
    </row>
    <row r="262" spans="1:7" ht="15" customHeight="1">
      <c r="A262" s="485"/>
      <c r="B262" s="101" t="s">
        <v>207</v>
      </c>
      <c r="C262" s="106">
        <v>1.15</v>
      </c>
      <c r="D262" s="106">
        <v>1</v>
      </c>
      <c r="E262" s="105">
        <f t="shared" si="9"/>
        <v>1.15</v>
      </c>
      <c r="F262" s="52"/>
      <c r="G262" s="35"/>
    </row>
    <row r="263" spans="1:7" ht="15" customHeight="1">
      <c r="A263" s="485"/>
      <c r="B263" s="101" t="s">
        <v>416</v>
      </c>
      <c r="C263" s="106">
        <v>1.15</v>
      </c>
      <c r="D263" s="106">
        <v>1</v>
      </c>
      <c r="E263" s="105">
        <f t="shared" si="9"/>
        <v>1.15</v>
      </c>
      <c r="F263" s="52"/>
      <c r="G263" s="35"/>
    </row>
    <row r="264" spans="1:7" ht="15" customHeight="1">
      <c r="A264" s="485"/>
      <c r="B264" s="101" t="s">
        <v>257</v>
      </c>
      <c r="C264" s="106">
        <v>1.15</v>
      </c>
      <c r="D264" s="106">
        <v>1</v>
      </c>
      <c r="E264" s="105">
        <f aca="true" t="shared" si="10" ref="E264:E270">C264*D264</f>
        <v>1.15</v>
      </c>
      <c r="F264" s="52"/>
      <c r="G264" s="35"/>
    </row>
    <row r="265" spans="1:7" ht="15" customHeight="1">
      <c r="A265" s="485"/>
      <c r="B265" s="101" t="s">
        <v>201</v>
      </c>
      <c r="C265" s="106">
        <v>1.15</v>
      </c>
      <c r="D265" s="106">
        <v>1</v>
      </c>
      <c r="E265" s="105">
        <f t="shared" si="10"/>
        <v>1.15</v>
      </c>
      <c r="F265" s="52"/>
      <c r="G265" s="35"/>
    </row>
    <row r="266" spans="1:7" ht="15" customHeight="1">
      <c r="A266" s="485"/>
      <c r="B266" s="107" t="s">
        <v>205</v>
      </c>
      <c r="C266" s="106">
        <v>1.15</v>
      </c>
      <c r="D266" s="106">
        <v>2</v>
      </c>
      <c r="E266" s="105">
        <f t="shared" si="10"/>
        <v>2.3</v>
      </c>
      <c r="F266" s="52"/>
      <c r="G266" s="35"/>
    </row>
    <row r="267" spans="1:7" ht="15" customHeight="1">
      <c r="A267" s="485"/>
      <c r="B267" s="107" t="s">
        <v>217</v>
      </c>
      <c r="C267" s="106">
        <v>1.15</v>
      </c>
      <c r="D267" s="106">
        <v>1</v>
      </c>
      <c r="E267" s="105">
        <f t="shared" si="10"/>
        <v>1.15</v>
      </c>
      <c r="F267" s="52"/>
      <c r="G267" s="35"/>
    </row>
    <row r="268" spans="1:7" ht="15" customHeight="1">
      <c r="A268" s="485"/>
      <c r="B268" s="107" t="s">
        <v>252</v>
      </c>
      <c r="C268" s="106">
        <v>1.15</v>
      </c>
      <c r="D268" s="106">
        <v>1</v>
      </c>
      <c r="E268" s="105">
        <f t="shared" si="10"/>
        <v>1.15</v>
      </c>
      <c r="F268" s="52"/>
      <c r="G268" s="35"/>
    </row>
    <row r="269" spans="1:7" ht="15" customHeight="1">
      <c r="A269" s="485"/>
      <c r="B269" s="107" t="s">
        <v>268</v>
      </c>
      <c r="C269" s="106">
        <v>1.15</v>
      </c>
      <c r="D269" s="106">
        <v>1</v>
      </c>
      <c r="E269" s="105">
        <f t="shared" si="10"/>
        <v>1.15</v>
      </c>
      <c r="F269" s="52"/>
      <c r="G269" s="35"/>
    </row>
    <row r="270" spans="1:7" ht="15" customHeight="1" thickBot="1">
      <c r="A270" s="485"/>
      <c r="B270" s="107" t="s">
        <v>218</v>
      </c>
      <c r="C270" s="106">
        <v>1.15</v>
      </c>
      <c r="D270" s="230">
        <v>1</v>
      </c>
      <c r="E270" s="231">
        <f t="shared" si="10"/>
        <v>1.15</v>
      </c>
      <c r="F270" s="52"/>
      <c r="G270" s="35"/>
    </row>
    <row r="271" spans="1:7" ht="15" customHeight="1" thickBot="1">
      <c r="A271" s="485"/>
      <c r="B271" s="491"/>
      <c r="C271" s="38"/>
      <c r="D271" s="195" t="s">
        <v>2</v>
      </c>
      <c r="E271" s="205">
        <f>SUM(E252:E270)</f>
        <v>24.15</v>
      </c>
      <c r="F271" s="52"/>
      <c r="G271" s="35"/>
    </row>
    <row r="272" spans="1:7" ht="15" customHeight="1" thickBot="1">
      <c r="A272" s="485"/>
      <c r="B272" s="491"/>
      <c r="C272" s="38"/>
      <c r="D272" s="489"/>
      <c r="E272" s="37"/>
      <c r="F272" s="52"/>
      <c r="G272" s="35"/>
    </row>
    <row r="273" spans="1:7" ht="15" customHeight="1" thickBot="1">
      <c r="A273" s="80" t="s">
        <v>495</v>
      </c>
      <c r="B273" s="548" t="str">
        <f>Planilha!C33</f>
        <v>VERGA PRÉ-MOLDADA PARA PORTAS COM MAIS DE 1,5 M DE VÃO. AF_03/2016 </v>
      </c>
      <c r="C273" s="549"/>
      <c r="D273" s="549"/>
      <c r="E273" s="550"/>
      <c r="F273" s="81">
        <f>E277</f>
        <v>2.3</v>
      </c>
      <c r="G273" s="80" t="s">
        <v>25</v>
      </c>
    </row>
    <row r="274" spans="1:7" ht="15" customHeight="1">
      <c r="A274" s="65"/>
      <c r="B274" s="34"/>
      <c r="C274" s="34"/>
      <c r="D274" s="34"/>
      <c r="E274" s="45"/>
      <c r="F274" s="34"/>
      <c r="G274" s="35"/>
    </row>
    <row r="275" spans="1:7" ht="15" customHeight="1">
      <c r="A275" s="485"/>
      <c r="B275" s="112" t="s">
        <v>20</v>
      </c>
      <c r="C275" s="197" t="s">
        <v>26</v>
      </c>
      <c r="D275" s="112" t="s">
        <v>24</v>
      </c>
      <c r="E275" s="112" t="s">
        <v>34</v>
      </c>
      <c r="F275" s="52"/>
      <c r="G275" s="35"/>
    </row>
    <row r="276" spans="1:7" ht="15" customHeight="1" thickBot="1">
      <c r="A276" s="485"/>
      <c r="B276" s="101" t="s">
        <v>256</v>
      </c>
      <c r="C276" s="106">
        <v>2.3</v>
      </c>
      <c r="D276" s="230">
        <v>1</v>
      </c>
      <c r="E276" s="231">
        <f>C276*D276</f>
        <v>2.3</v>
      </c>
      <c r="F276" s="52"/>
      <c r="G276" s="35"/>
    </row>
    <row r="277" spans="1:7" ht="15" customHeight="1" thickBot="1">
      <c r="A277" s="485"/>
      <c r="B277" s="50"/>
      <c r="C277" s="38"/>
      <c r="D277" s="195" t="s">
        <v>2</v>
      </c>
      <c r="E277" s="205">
        <f>E276</f>
        <v>2.3</v>
      </c>
      <c r="F277" s="52"/>
      <c r="G277" s="35"/>
    </row>
    <row r="278" spans="1:7" ht="15" customHeight="1" thickBot="1">
      <c r="A278" s="485"/>
      <c r="B278" s="50"/>
      <c r="C278" s="38"/>
      <c r="D278" s="38"/>
      <c r="E278" s="41"/>
      <c r="F278" s="52"/>
      <c r="G278" s="35"/>
    </row>
    <row r="279" spans="1:7" ht="41.25" customHeight="1" thickBot="1">
      <c r="A279" s="80" t="s">
        <v>517</v>
      </c>
      <c r="B279" s="548" t="str">
        <f>Planilha!C34</f>
        <v>COSTURA DE TRINCA COM GRAMPO, BARRA DE AÇO CA-50 Ø8,0MM, COMPRIMENTO TOTAL 40CM, ESPAÇAMENTO DE 15CM, INCLUSIVE CORTE, DOBRA E ARGAMASSA, TRAÇO 1:4 (CIMENTO E AREIA), PREPARO MECÂNICO</v>
      </c>
      <c r="C279" s="549"/>
      <c r="D279" s="549"/>
      <c r="E279" s="550"/>
      <c r="F279" s="81">
        <f>E283</f>
        <v>18</v>
      </c>
      <c r="G279" s="80" t="s">
        <v>25</v>
      </c>
    </row>
    <row r="280" spans="1:7" ht="15" customHeight="1">
      <c r="A280" s="65"/>
      <c r="B280" s="34"/>
      <c r="C280" s="34"/>
      <c r="D280" s="34"/>
      <c r="E280" s="45"/>
      <c r="F280" s="34"/>
      <c r="G280" s="35"/>
    </row>
    <row r="281" spans="1:7" ht="15" customHeight="1">
      <c r="A281" s="485"/>
      <c r="B281" s="112" t="s">
        <v>20</v>
      </c>
      <c r="C281" s="112" t="s">
        <v>22</v>
      </c>
      <c r="D281" s="112" t="s">
        <v>24</v>
      </c>
      <c r="E281" s="112" t="s">
        <v>34</v>
      </c>
      <c r="F281" s="52"/>
      <c r="G281" s="35"/>
    </row>
    <row r="282" spans="1:7" ht="15" customHeight="1" thickBot="1">
      <c r="A282" s="485"/>
      <c r="B282" s="101"/>
      <c r="C282" s="106">
        <v>3</v>
      </c>
      <c r="D282" s="109">
        <v>6</v>
      </c>
      <c r="E282" s="105">
        <f>C282*D282</f>
        <v>18</v>
      </c>
      <c r="F282" s="52"/>
      <c r="G282" s="35"/>
    </row>
    <row r="283" spans="1:9" ht="15" customHeight="1" thickBot="1">
      <c r="A283" s="485"/>
      <c r="B283" s="491"/>
      <c r="C283" s="34"/>
      <c r="D283" s="78" t="s">
        <v>2</v>
      </c>
      <c r="E283" s="277">
        <f>SUM(E282)</f>
        <v>18</v>
      </c>
      <c r="F283" s="52"/>
      <c r="G283" s="35"/>
      <c r="I283" s="52"/>
    </row>
    <row r="284" spans="1:9" ht="10.5" customHeight="1" thickBot="1">
      <c r="A284" s="47"/>
      <c r="B284" s="34"/>
      <c r="C284" s="34"/>
      <c r="D284" s="34"/>
      <c r="E284" s="45"/>
      <c r="F284" s="34"/>
      <c r="G284" s="61" t="s">
        <v>31</v>
      </c>
      <c r="I284" s="52"/>
    </row>
    <row r="285" spans="1:9" ht="21.75" customHeight="1" thickBot="1">
      <c r="A285" s="79">
        <v>5</v>
      </c>
      <c r="B285" s="557" t="s">
        <v>3</v>
      </c>
      <c r="C285" s="558"/>
      <c r="D285" s="558"/>
      <c r="E285" s="558"/>
      <c r="F285" s="558"/>
      <c r="G285" s="559"/>
      <c r="I285" s="52"/>
    </row>
    <row r="286" spans="1:9" ht="13.5" customHeight="1" thickBot="1">
      <c r="A286" s="48"/>
      <c r="B286" s="34"/>
      <c r="C286" s="34"/>
      <c r="D286" s="34"/>
      <c r="E286" s="45"/>
      <c r="F286" s="34"/>
      <c r="G286" s="61"/>
      <c r="I286" s="52"/>
    </row>
    <row r="287" spans="1:9" ht="13.5" thickBot="1">
      <c r="A287" s="80" t="s">
        <v>32</v>
      </c>
      <c r="B287" s="548" t="str">
        <f>Planilha!C36</f>
        <v>JANELA DE AÇO DE CORRER COM 4 FOLHAS PARA VIDRO, COM BATENTE, FERRAGENS E PINTURA ANTICORROSIVA. EXCLUSIVE VIDROS, ALIZAR E CONTRAMARCO. FOR
 NECIMENTO E INSTALAÇÃO. AF_12/2019</v>
      </c>
      <c r="C287" s="549"/>
      <c r="D287" s="549"/>
      <c r="E287" s="550"/>
      <c r="F287" s="81">
        <f>F292</f>
        <v>3.36</v>
      </c>
      <c r="G287" s="80" t="s">
        <v>94</v>
      </c>
      <c r="I287" s="52"/>
    </row>
    <row r="288" spans="1:9" ht="15" customHeight="1">
      <c r="A288" s="33"/>
      <c r="B288" s="489"/>
      <c r="C288" s="37"/>
      <c r="D288" s="34"/>
      <c r="E288" s="45"/>
      <c r="F288" s="34"/>
      <c r="G288" s="35"/>
      <c r="I288" s="52"/>
    </row>
    <row r="289" spans="1:7" ht="15" customHeight="1">
      <c r="A289" s="33"/>
      <c r="B289" s="112" t="s">
        <v>20</v>
      </c>
      <c r="C289" s="112" t="s">
        <v>21</v>
      </c>
      <c r="D289" s="112" t="s">
        <v>22</v>
      </c>
      <c r="E289" s="112" t="s">
        <v>24</v>
      </c>
      <c r="F289" s="112" t="s">
        <v>23</v>
      </c>
      <c r="G289" s="55"/>
    </row>
    <row r="290" spans="1:7" ht="12.75">
      <c r="A290" s="33"/>
      <c r="B290" s="101" t="s">
        <v>216</v>
      </c>
      <c r="C290" s="106">
        <v>1.4</v>
      </c>
      <c r="D290" s="106">
        <v>1.2</v>
      </c>
      <c r="E290" s="107">
        <v>1</v>
      </c>
      <c r="F290" s="106">
        <f>C290*D290*E290</f>
        <v>1.68</v>
      </c>
      <c r="G290" s="55"/>
    </row>
    <row r="291" spans="1:7" ht="13.5" thickBot="1">
      <c r="A291" s="33"/>
      <c r="B291" s="101" t="s">
        <v>222</v>
      </c>
      <c r="C291" s="106">
        <v>1.4</v>
      </c>
      <c r="D291" s="106">
        <v>1.2</v>
      </c>
      <c r="E291" s="107">
        <v>1</v>
      </c>
      <c r="F291" s="106">
        <f>C291*D291*E291</f>
        <v>1.68</v>
      </c>
      <c r="G291" s="55"/>
    </row>
    <row r="292" spans="1:7" ht="13.5" thickBot="1">
      <c r="A292" s="33"/>
      <c r="B292" s="489"/>
      <c r="C292" s="37"/>
      <c r="D292" s="34"/>
      <c r="E292" s="78" t="s">
        <v>2</v>
      </c>
      <c r="F292" s="205">
        <f>SUM(F290:F291)</f>
        <v>3.36</v>
      </c>
      <c r="G292" s="67"/>
    </row>
    <row r="293" spans="1:7" ht="13.5" thickBot="1">
      <c r="A293" s="33"/>
      <c r="B293" s="489"/>
      <c r="C293" s="37"/>
      <c r="D293" s="34"/>
      <c r="E293" s="222"/>
      <c r="F293" s="205"/>
      <c r="G293" s="67"/>
    </row>
    <row r="294" spans="1:7" ht="34.5" customHeight="1" thickBot="1">
      <c r="A294" s="80" t="s">
        <v>37</v>
      </c>
      <c r="B294" s="548" t="str">
        <f>Planilha!C37</f>
        <v>FORNECIMENTO E ASSENTAMENTO DE JANELA EM FERRO, TIPO
MAXIM-AR, INCLUSIVE FERRAGENS E ACESSÓRIOS</v>
      </c>
      <c r="C294" s="549"/>
      <c r="D294" s="549"/>
      <c r="E294" s="550"/>
      <c r="F294" s="81">
        <f>F299</f>
        <v>1.8</v>
      </c>
      <c r="G294" s="80" t="s">
        <v>94</v>
      </c>
    </row>
    <row r="295" spans="1:7" ht="12.75">
      <c r="A295" s="33"/>
      <c r="B295" s="489"/>
      <c r="C295" s="37"/>
      <c r="D295" s="34"/>
      <c r="E295" s="45"/>
      <c r="F295" s="34"/>
      <c r="G295" s="35"/>
    </row>
    <row r="296" spans="1:7" ht="12.75">
      <c r="A296" s="33"/>
      <c r="B296" s="112" t="s">
        <v>20</v>
      </c>
      <c r="C296" s="112" t="s">
        <v>21</v>
      </c>
      <c r="D296" s="112" t="s">
        <v>22</v>
      </c>
      <c r="E296" s="112" t="s">
        <v>24</v>
      </c>
      <c r="F296" s="112" t="s">
        <v>23</v>
      </c>
      <c r="G296" s="55"/>
    </row>
    <row r="297" spans="1:8" ht="12.75">
      <c r="A297" s="33"/>
      <c r="B297" s="101" t="s">
        <v>251</v>
      </c>
      <c r="C297" s="106">
        <v>1</v>
      </c>
      <c r="D297" s="106">
        <v>0.6</v>
      </c>
      <c r="E297" s="107">
        <v>2</v>
      </c>
      <c r="F297" s="106">
        <f>C297*D297*E297</f>
        <v>1.2</v>
      </c>
      <c r="G297" s="55"/>
      <c r="H297" s="52"/>
    </row>
    <row r="298" spans="1:7" ht="13.5" thickBot="1">
      <c r="A298" s="33"/>
      <c r="B298" s="101" t="s">
        <v>203</v>
      </c>
      <c r="C298" s="106">
        <v>1</v>
      </c>
      <c r="D298" s="106">
        <v>0.6</v>
      </c>
      <c r="E298" s="107">
        <v>1</v>
      </c>
      <c r="F298" s="106">
        <f>C298*D298*E298</f>
        <v>0.6</v>
      </c>
      <c r="G298" s="55"/>
    </row>
    <row r="299" spans="1:7" ht="13.5" thickBot="1">
      <c r="A299" s="33"/>
      <c r="B299" s="489"/>
      <c r="C299" s="37"/>
      <c r="D299" s="34"/>
      <c r="E299" s="78" t="s">
        <v>2</v>
      </c>
      <c r="F299" s="205">
        <f>SUM(F296:F298)</f>
        <v>1.8</v>
      </c>
      <c r="G299" s="55"/>
    </row>
    <row r="300" spans="1:7" ht="13.5" thickBot="1">
      <c r="A300" s="33"/>
      <c r="B300" s="489"/>
      <c r="C300" s="37"/>
      <c r="D300" s="34"/>
      <c r="E300" s="45"/>
      <c r="F300" s="45"/>
      <c r="G300" s="39"/>
    </row>
    <row r="301" spans="1:7" ht="13.5" customHeight="1" thickBot="1">
      <c r="A301" s="80" t="s">
        <v>64</v>
      </c>
      <c r="B301" s="548" t="str">
        <f>Planilha!C38</f>
        <v>VIDRO COMUM LISO INCOLOR, ESP. 4MM, INCLUSIVE FIXAÇÃO E VEDAÇÃO COM GUARNIÇÃO/GAXETA DE BORRACHA NEOPRENE, FORNECIMENTO E INSTALAÇÃO, EXCLUSIVE CAIXILHO/PERFIL</v>
      </c>
      <c r="C301" s="549"/>
      <c r="D301" s="549"/>
      <c r="E301" s="550"/>
      <c r="F301" s="81">
        <f>F308</f>
        <v>5.16</v>
      </c>
      <c r="G301" s="80" t="s">
        <v>94</v>
      </c>
    </row>
    <row r="302" spans="1:7" ht="12.75">
      <c r="A302" s="33"/>
      <c r="B302" s="489"/>
      <c r="C302" s="37"/>
      <c r="D302" s="34"/>
      <c r="E302" s="45"/>
      <c r="F302" s="45"/>
      <c r="G302" s="39"/>
    </row>
    <row r="303" spans="1:7" ht="12.75">
      <c r="A303" s="33"/>
      <c r="B303" s="112" t="s">
        <v>20</v>
      </c>
      <c r="C303" s="112" t="s">
        <v>21</v>
      </c>
      <c r="D303" s="112" t="s">
        <v>22</v>
      </c>
      <c r="E303" s="112" t="s">
        <v>24</v>
      </c>
      <c r="F303" s="112" t="s">
        <v>23</v>
      </c>
      <c r="G303" s="39"/>
    </row>
    <row r="304" spans="1:7" ht="12.75">
      <c r="A304" s="33"/>
      <c r="B304" s="101" t="s">
        <v>251</v>
      </c>
      <c r="C304" s="106">
        <v>1</v>
      </c>
      <c r="D304" s="106">
        <v>0.6</v>
      </c>
      <c r="E304" s="107">
        <v>2</v>
      </c>
      <c r="F304" s="106">
        <f>C304*D304*E304</f>
        <v>1.2</v>
      </c>
      <c r="G304" s="39"/>
    </row>
    <row r="305" spans="1:7" ht="15" customHeight="1">
      <c r="A305" s="33"/>
      <c r="B305" s="101" t="s">
        <v>203</v>
      </c>
      <c r="C305" s="106">
        <v>1</v>
      </c>
      <c r="D305" s="106">
        <v>0.6</v>
      </c>
      <c r="E305" s="107">
        <v>1</v>
      </c>
      <c r="F305" s="106">
        <f>C305*D305*E305</f>
        <v>0.6</v>
      </c>
      <c r="G305" s="39"/>
    </row>
    <row r="306" spans="1:7" ht="12.75">
      <c r="A306" s="33"/>
      <c r="B306" s="101" t="s">
        <v>253</v>
      </c>
      <c r="C306" s="106">
        <v>1.4</v>
      </c>
      <c r="D306" s="106">
        <v>1.2</v>
      </c>
      <c r="E306" s="107">
        <v>1</v>
      </c>
      <c r="F306" s="106">
        <f>C306*D306*E306</f>
        <v>1.68</v>
      </c>
      <c r="G306" s="39"/>
    </row>
    <row r="307" spans="1:7" ht="13.5" thickBot="1">
      <c r="A307" s="33"/>
      <c r="B307" s="101" t="s">
        <v>222</v>
      </c>
      <c r="C307" s="106">
        <v>1.4</v>
      </c>
      <c r="D307" s="106">
        <v>1.2</v>
      </c>
      <c r="E307" s="107">
        <v>1</v>
      </c>
      <c r="F307" s="106">
        <f>C307*D307*E307</f>
        <v>1.68</v>
      </c>
      <c r="G307" s="39"/>
    </row>
    <row r="308" spans="1:7" ht="13.5" thickBot="1">
      <c r="A308" s="33"/>
      <c r="B308" s="489"/>
      <c r="C308" s="37"/>
      <c r="D308" s="34"/>
      <c r="E308" s="78" t="s">
        <v>2</v>
      </c>
      <c r="F308" s="205">
        <f>SUM(F304:F307)</f>
        <v>5.16</v>
      </c>
      <c r="G308" s="39"/>
    </row>
    <row r="309" spans="1:7" ht="13.5" thickBot="1">
      <c r="A309" s="33"/>
      <c r="B309" s="489"/>
      <c r="C309" s="37"/>
      <c r="D309" s="34"/>
      <c r="E309" s="45"/>
      <c r="F309" s="45"/>
      <c r="G309" s="39"/>
    </row>
    <row r="310" spans="1:7" ht="13.5" thickBot="1">
      <c r="A310" s="80" t="s">
        <v>331</v>
      </c>
      <c r="B310" s="548" t="str">
        <f>Planilha!C39</f>
        <v>KIT DE PORTA-PRONTA DE MADEIRA EM ACABAMENTO MELAMÍNICO BRANCO, FOLHA PESADA OU SUPERPESADA, 80X210CM, FIXAÇÃO COM PREENCHIMENTO PARCIAL DE
 ESPUMA EXPANSIVA - FORNECIMENTO E INSTALAÇÃO. AF_12/2019</v>
      </c>
      <c r="C310" s="554"/>
      <c r="D310" s="554"/>
      <c r="E310" s="555"/>
      <c r="F310" s="81">
        <f>F333</f>
        <v>21</v>
      </c>
      <c r="G310" s="80" t="s">
        <v>19</v>
      </c>
    </row>
    <row r="311" spans="1:7" ht="12.75">
      <c r="A311" s="33"/>
      <c r="B311" s="489"/>
      <c r="C311" s="37"/>
      <c r="D311" s="34"/>
      <c r="E311" s="45"/>
      <c r="F311" s="34"/>
      <c r="G311" s="35"/>
    </row>
    <row r="312" spans="1:7" ht="12.75">
      <c r="A312" s="53"/>
      <c r="B312" s="52"/>
      <c r="C312" s="252"/>
      <c r="D312" s="252"/>
      <c r="E312" s="112" t="s">
        <v>20</v>
      </c>
      <c r="F312" s="112" t="s">
        <v>332</v>
      </c>
      <c r="G312" s="35"/>
    </row>
    <row r="313" spans="1:7" ht="12.75">
      <c r="A313" s="53"/>
      <c r="B313" s="52"/>
      <c r="C313" s="38"/>
      <c r="D313" s="38"/>
      <c r="E313" s="104" t="s">
        <v>208</v>
      </c>
      <c r="F313" s="105">
        <v>1</v>
      </c>
      <c r="G313" s="35"/>
    </row>
    <row r="314" spans="1:7" ht="12.75">
      <c r="A314" s="53"/>
      <c r="B314" s="52"/>
      <c r="C314" s="38"/>
      <c r="D314" s="38"/>
      <c r="E314" s="104" t="s">
        <v>211</v>
      </c>
      <c r="F314" s="105">
        <v>1</v>
      </c>
      <c r="G314" s="35"/>
    </row>
    <row r="315" spans="1:7" ht="12.75">
      <c r="A315" s="53"/>
      <c r="B315" s="52"/>
      <c r="C315" s="38"/>
      <c r="D315" s="38"/>
      <c r="E315" s="92" t="s">
        <v>417</v>
      </c>
      <c r="F315" s="105">
        <v>1</v>
      </c>
      <c r="G315" s="35"/>
    </row>
    <row r="316" spans="1:7" ht="12.75">
      <c r="A316" s="53"/>
      <c r="B316" s="52"/>
      <c r="C316" s="38"/>
      <c r="D316" s="38"/>
      <c r="E316" s="104" t="s">
        <v>221</v>
      </c>
      <c r="F316" s="105">
        <v>1</v>
      </c>
      <c r="G316" s="35"/>
    </row>
    <row r="317" spans="1:7" ht="15.75" customHeight="1">
      <c r="A317" s="53"/>
      <c r="B317" s="52"/>
      <c r="C317" s="38"/>
      <c r="D317" s="38"/>
      <c r="E317" s="104" t="s">
        <v>271</v>
      </c>
      <c r="F317" s="105">
        <v>1</v>
      </c>
      <c r="G317" s="35"/>
    </row>
    <row r="318" spans="1:8" ht="18" customHeight="1">
      <c r="A318" s="53"/>
      <c r="B318" s="52"/>
      <c r="C318" s="38"/>
      <c r="D318" s="38"/>
      <c r="E318" s="104" t="s">
        <v>272</v>
      </c>
      <c r="F318" s="105">
        <v>1</v>
      </c>
      <c r="G318" s="35"/>
      <c r="H318" s="34"/>
    </row>
    <row r="319" spans="1:9" ht="14.25" customHeight="1">
      <c r="A319" s="53"/>
      <c r="B319" s="52"/>
      <c r="C319" s="45"/>
      <c r="D319" s="45"/>
      <c r="E319" s="92" t="s">
        <v>206</v>
      </c>
      <c r="F319" s="105">
        <v>1</v>
      </c>
      <c r="G319" s="35"/>
      <c r="H319" s="34"/>
      <c r="I319" s="52"/>
    </row>
    <row r="320" spans="1:9" ht="14.25" customHeight="1">
      <c r="A320" s="53"/>
      <c r="B320" s="52"/>
      <c r="C320" s="45"/>
      <c r="D320" s="45"/>
      <c r="E320" s="92" t="s">
        <v>422</v>
      </c>
      <c r="F320" s="105">
        <v>1</v>
      </c>
      <c r="G320" s="35"/>
      <c r="H320" s="34"/>
      <c r="I320" s="52"/>
    </row>
    <row r="321" spans="1:14" ht="14.25" customHeight="1">
      <c r="A321" s="53"/>
      <c r="B321" s="52"/>
      <c r="C321" s="45"/>
      <c r="D321" s="45"/>
      <c r="E321" s="92" t="s">
        <v>216</v>
      </c>
      <c r="F321" s="105">
        <v>1</v>
      </c>
      <c r="G321" s="35"/>
      <c r="H321" s="34"/>
      <c r="I321" s="52"/>
      <c r="N321" t="s">
        <v>35</v>
      </c>
    </row>
    <row r="322" spans="1:9" ht="14.25" customHeight="1" thickBot="1">
      <c r="A322" s="53"/>
      <c r="B322" s="52"/>
      <c r="C322" s="45"/>
      <c r="D322" s="45"/>
      <c r="E322" s="92" t="s">
        <v>203</v>
      </c>
      <c r="F322" s="105">
        <v>1</v>
      </c>
      <c r="G322" s="35"/>
      <c r="H322" s="34"/>
      <c r="I322" s="52"/>
    </row>
    <row r="323" spans="1:13" ht="14.25" customHeight="1" thickBot="1">
      <c r="A323" s="53"/>
      <c r="B323" s="52"/>
      <c r="C323" s="45"/>
      <c r="D323" s="45"/>
      <c r="E323" s="92" t="s">
        <v>222</v>
      </c>
      <c r="F323" s="105">
        <v>1</v>
      </c>
      <c r="G323" s="35"/>
      <c r="H323" s="34"/>
      <c r="I323" s="52"/>
      <c r="M323" s="278"/>
    </row>
    <row r="324" spans="1:9" ht="14.25" customHeight="1">
      <c r="A324" s="33"/>
      <c r="B324" s="52"/>
      <c r="C324" s="45"/>
      <c r="D324" s="45"/>
      <c r="E324" s="92" t="s">
        <v>207</v>
      </c>
      <c r="F324" s="110">
        <v>1</v>
      </c>
      <c r="G324" s="35"/>
      <c r="H324" s="34"/>
      <c r="I324" s="52"/>
    </row>
    <row r="325" spans="1:9" ht="14.25" customHeight="1">
      <c r="A325" s="33"/>
      <c r="B325" s="52"/>
      <c r="C325" s="45"/>
      <c r="D325" s="45"/>
      <c r="E325" s="92" t="s">
        <v>416</v>
      </c>
      <c r="F325" s="110">
        <v>1</v>
      </c>
      <c r="G325" s="35"/>
      <c r="H325" s="34"/>
      <c r="I325" s="52"/>
    </row>
    <row r="326" spans="1:9" ht="14.25" customHeight="1">
      <c r="A326" s="33"/>
      <c r="B326" s="52"/>
      <c r="C326" s="45"/>
      <c r="D326" s="45"/>
      <c r="E326" s="92" t="s">
        <v>257</v>
      </c>
      <c r="F326" s="110">
        <v>1</v>
      </c>
      <c r="G326" s="35"/>
      <c r="H326" s="34"/>
      <c r="I326" s="52"/>
    </row>
    <row r="327" spans="1:9" ht="14.25" customHeight="1">
      <c r="A327" s="33"/>
      <c r="B327" s="52"/>
      <c r="C327" s="45"/>
      <c r="D327" s="45"/>
      <c r="E327" s="92" t="s">
        <v>201</v>
      </c>
      <c r="F327" s="110">
        <v>1</v>
      </c>
      <c r="G327" s="35"/>
      <c r="H327" s="34"/>
      <c r="I327" s="52"/>
    </row>
    <row r="328" spans="1:9" ht="14.25" customHeight="1">
      <c r="A328" s="33"/>
      <c r="B328" s="52"/>
      <c r="C328" s="45"/>
      <c r="D328" s="45"/>
      <c r="E328" s="92" t="s">
        <v>205</v>
      </c>
      <c r="F328" s="110">
        <v>2</v>
      </c>
      <c r="G328" s="35"/>
      <c r="H328" s="34"/>
      <c r="I328" s="52"/>
    </row>
    <row r="329" spans="1:9" ht="14.25" customHeight="1">
      <c r="A329" s="33"/>
      <c r="B329" s="52"/>
      <c r="C329" s="45"/>
      <c r="D329" s="45"/>
      <c r="E329" s="92" t="s">
        <v>217</v>
      </c>
      <c r="F329" s="110">
        <v>1</v>
      </c>
      <c r="G329" s="35"/>
      <c r="H329" s="34"/>
      <c r="I329" s="52"/>
    </row>
    <row r="330" spans="1:7" ht="12.75">
      <c r="A330" s="33"/>
      <c r="B330" s="52"/>
      <c r="C330" s="45"/>
      <c r="D330" s="45"/>
      <c r="E330" s="92" t="s">
        <v>252</v>
      </c>
      <c r="F330" s="110">
        <v>1</v>
      </c>
      <c r="G330" s="35"/>
    </row>
    <row r="331" spans="1:7" ht="12.75">
      <c r="A331" s="33"/>
      <c r="B331" s="52"/>
      <c r="C331" s="45"/>
      <c r="D331" s="45"/>
      <c r="E331" s="92" t="s">
        <v>268</v>
      </c>
      <c r="F331" s="110">
        <v>1</v>
      </c>
      <c r="G331" s="35"/>
    </row>
    <row r="332" spans="1:7" ht="13.5" thickBot="1">
      <c r="A332" s="33"/>
      <c r="B332" s="52"/>
      <c r="C332" s="45"/>
      <c r="D332" s="45"/>
      <c r="E332" s="92" t="s">
        <v>218</v>
      </c>
      <c r="F332" s="110">
        <v>1</v>
      </c>
      <c r="G332" s="35"/>
    </row>
    <row r="333" spans="1:7" ht="13.5" thickBot="1">
      <c r="A333" s="33"/>
      <c r="B333" s="70"/>
      <c r="C333" s="45"/>
      <c r="D333" s="489"/>
      <c r="E333" s="205" t="s">
        <v>2</v>
      </c>
      <c r="F333" s="277">
        <f>SUM(F313:F332)</f>
        <v>21</v>
      </c>
      <c r="G333" s="35"/>
    </row>
    <row r="334" spans="1:7" ht="13.5" thickBot="1">
      <c r="A334" s="33"/>
      <c r="B334" s="491"/>
      <c r="C334" s="34"/>
      <c r="D334" s="52"/>
      <c r="E334" s="489"/>
      <c r="F334" s="37"/>
      <c r="G334" s="35"/>
    </row>
    <row r="335" spans="1:7" ht="13.5" thickBot="1">
      <c r="A335" s="80" t="s">
        <v>375</v>
      </c>
      <c r="B335" s="548" t="str">
        <f>Planilha!C40</f>
        <v>PORTÃO DE GRADE COLOCADO COM CADEADO</v>
      </c>
      <c r="C335" s="554"/>
      <c r="D335" s="554"/>
      <c r="E335" s="555"/>
      <c r="F335" s="81">
        <f>F340</f>
        <v>5.25</v>
      </c>
      <c r="G335" s="80" t="s">
        <v>94</v>
      </c>
    </row>
    <row r="336" spans="1:7" ht="12.75">
      <c r="A336" s="33"/>
      <c r="B336" s="491"/>
      <c r="C336" s="34"/>
      <c r="D336" s="52"/>
      <c r="E336" s="489"/>
      <c r="F336" s="37"/>
      <c r="G336" s="35"/>
    </row>
    <row r="337" spans="1:7" ht="12.75">
      <c r="A337" s="33"/>
      <c r="B337" s="491"/>
      <c r="C337" s="196" t="s">
        <v>337</v>
      </c>
      <c r="D337" s="327" t="s">
        <v>227</v>
      </c>
      <c r="E337" s="191" t="s">
        <v>338</v>
      </c>
      <c r="F337" s="192" t="s">
        <v>228</v>
      </c>
      <c r="G337" s="35"/>
    </row>
    <row r="338" spans="1:7" ht="12.75">
      <c r="A338" s="33"/>
      <c r="B338" s="491"/>
      <c r="C338" s="92" t="s">
        <v>389</v>
      </c>
      <c r="D338" s="229">
        <v>1.5</v>
      </c>
      <c r="E338" s="86">
        <v>2.1</v>
      </c>
      <c r="F338" s="204">
        <f>D338*E338</f>
        <v>3.15</v>
      </c>
      <c r="G338" s="35"/>
    </row>
    <row r="339" spans="1:7" ht="13.5" thickBot="1">
      <c r="A339" s="33"/>
      <c r="B339" s="491"/>
      <c r="C339" s="92" t="s">
        <v>233</v>
      </c>
      <c r="D339" s="229">
        <v>1</v>
      </c>
      <c r="E339" s="86">
        <v>2.1</v>
      </c>
      <c r="F339" s="204">
        <f>D339*E339</f>
        <v>2.1</v>
      </c>
      <c r="G339" s="35"/>
    </row>
    <row r="340" spans="1:7" ht="13.5" thickBot="1">
      <c r="A340" s="33"/>
      <c r="B340" s="491"/>
      <c r="C340" s="34"/>
      <c r="D340" s="117"/>
      <c r="E340" s="78" t="s">
        <v>2</v>
      </c>
      <c r="F340" s="205">
        <f>F338+F339</f>
        <v>5.25</v>
      </c>
      <c r="G340" s="35"/>
    </row>
    <row r="341" spans="1:7" ht="13.5" thickBot="1">
      <c r="A341" s="33"/>
      <c r="B341" s="489"/>
      <c r="C341" s="37"/>
      <c r="D341" s="34"/>
      <c r="E341" s="45"/>
      <c r="F341" s="34"/>
      <c r="G341" s="35"/>
    </row>
    <row r="342" spans="1:7" ht="13.5" thickBot="1">
      <c r="A342" s="80" t="s">
        <v>496</v>
      </c>
      <c r="B342" s="548" t="str">
        <f>Planilha!C41</f>
        <v>PORTA PIVOTANTE DE VIDRO TEMPERADO, 2 FOLHAS DE 90X210 CM, ESPESSURA DE 10MM, INCLUSIVE ACESSÓRIOS. AF_01/2021- SALA DE ESPERA</v>
      </c>
      <c r="C342" s="554"/>
      <c r="D342" s="554"/>
      <c r="E342" s="555"/>
      <c r="F342" s="81">
        <v>1</v>
      </c>
      <c r="G342" s="80" t="s">
        <v>87</v>
      </c>
    </row>
    <row r="343" spans="1:7" ht="12.75">
      <c r="A343" s="33"/>
      <c r="B343" s="532"/>
      <c r="C343" s="34"/>
      <c r="D343" s="52"/>
      <c r="E343" s="531"/>
      <c r="F343" s="37"/>
      <c r="G343" s="35"/>
    </row>
    <row r="344" spans="1:7" ht="12.75">
      <c r="A344" s="33"/>
      <c r="B344" s="532"/>
      <c r="C344" s="196" t="s">
        <v>337</v>
      </c>
      <c r="D344" s="327" t="s">
        <v>227</v>
      </c>
      <c r="E344" s="191" t="s">
        <v>338</v>
      </c>
      <c r="F344" s="192" t="s">
        <v>228</v>
      </c>
      <c r="G344" s="35"/>
    </row>
    <row r="345" spans="1:7" ht="13.5" thickBot="1">
      <c r="A345" s="33"/>
      <c r="B345" s="532"/>
      <c r="C345" s="92" t="s">
        <v>256</v>
      </c>
      <c r="D345" s="229">
        <v>1.8</v>
      </c>
      <c r="E345" s="86">
        <v>2.1</v>
      </c>
      <c r="F345" s="204">
        <f>D345*E345</f>
        <v>3.78</v>
      </c>
      <c r="G345" s="35"/>
    </row>
    <row r="346" spans="1:7" ht="13.5" thickBot="1">
      <c r="A346" s="33"/>
      <c r="B346" s="532"/>
      <c r="C346" s="34"/>
      <c r="D346" s="117"/>
      <c r="E346" s="78" t="s">
        <v>2</v>
      </c>
      <c r="F346" s="205">
        <f>F345</f>
        <v>3.78</v>
      </c>
      <c r="G346" s="35"/>
    </row>
    <row r="347" spans="1:7" ht="12.75">
      <c r="A347" s="33"/>
      <c r="B347" s="531"/>
      <c r="C347" s="37"/>
      <c r="D347" s="34"/>
      <c r="E347" s="45"/>
      <c r="F347" s="34"/>
      <c r="G347" s="35"/>
    </row>
    <row r="348" spans="1:7" ht="13.5" thickBot="1">
      <c r="A348" s="33"/>
      <c r="B348" s="531"/>
      <c r="C348" s="37"/>
      <c r="D348" s="34"/>
      <c r="E348" s="45"/>
      <c r="F348" s="34"/>
      <c r="G348" s="35"/>
    </row>
    <row r="349" spans="1:7" ht="13.5" thickBot="1">
      <c r="A349" s="79">
        <v>6</v>
      </c>
      <c r="B349" s="557" t="s">
        <v>4</v>
      </c>
      <c r="C349" s="558"/>
      <c r="D349" s="558"/>
      <c r="E349" s="558"/>
      <c r="F349" s="558"/>
      <c r="G349" s="559"/>
    </row>
    <row r="350" spans="1:7" ht="13.5" thickBot="1">
      <c r="A350" s="33"/>
      <c r="B350" s="491"/>
      <c r="C350" s="34"/>
      <c r="D350" s="489"/>
      <c r="E350" s="37"/>
      <c r="F350" s="34"/>
      <c r="G350" s="35"/>
    </row>
    <row r="351" spans="1:7" ht="13.5" thickBot="1">
      <c r="A351" s="80" t="s">
        <v>27</v>
      </c>
      <c r="B351" s="548" t="str">
        <f>Planilha!C43</f>
        <v>TELHA DE BARRO / CERAMICA, NAO ESMALTADA, TIPO COLONIAL, CANAL, PLAN, PAULISTA COMPRIMENTO DE *44 A 50* CM, RENDIMENTO DE COBERTURA DE *26* TELHAS/M2</v>
      </c>
      <c r="C351" s="549"/>
      <c r="D351" s="549"/>
      <c r="E351" s="550"/>
      <c r="F351" s="81">
        <f>E355</f>
        <v>200</v>
      </c>
      <c r="G351" s="80" t="s">
        <v>94</v>
      </c>
    </row>
    <row r="352" spans="1:7" ht="12.75">
      <c r="A352" s="33"/>
      <c r="B352" s="491"/>
      <c r="C352" s="70"/>
      <c r="D352" s="224"/>
      <c r="E352" s="259"/>
      <c r="F352" s="260"/>
      <c r="G352" s="35"/>
    </row>
    <row r="353" spans="1:7" ht="12.75">
      <c r="A353" s="33"/>
      <c r="B353" s="491"/>
      <c r="C353" s="70"/>
      <c r="D353" s="262" t="s">
        <v>20</v>
      </c>
      <c r="E353" s="488" t="s">
        <v>24</v>
      </c>
      <c r="F353" s="34"/>
      <c r="G353" s="55"/>
    </row>
    <row r="354" spans="1:7" ht="13.5" thickBot="1">
      <c r="A354" s="33"/>
      <c r="B354" s="491"/>
      <c r="C354" s="70"/>
      <c r="D354" s="318" t="s">
        <v>288</v>
      </c>
      <c r="E354" s="76">
        <v>200</v>
      </c>
      <c r="F354" s="34"/>
      <c r="G354" s="55"/>
    </row>
    <row r="355" spans="1:7" ht="13.5" thickBot="1">
      <c r="A355" s="33"/>
      <c r="B355" s="491"/>
      <c r="C355" s="70"/>
      <c r="D355" s="319" t="s">
        <v>2</v>
      </c>
      <c r="E355" s="226">
        <v>200</v>
      </c>
      <c r="F355" s="34"/>
      <c r="G355" s="55"/>
    </row>
    <row r="356" spans="1:7" ht="13.5" thickBot="1">
      <c r="A356" s="33"/>
      <c r="B356" s="491"/>
      <c r="C356" s="70"/>
      <c r="D356" s="224"/>
      <c r="E356" s="310"/>
      <c r="F356" s="260"/>
      <c r="G356" s="35"/>
    </row>
    <row r="357" spans="1:7" ht="13.5" thickBot="1">
      <c r="A357" s="80" t="s">
        <v>319</v>
      </c>
      <c r="B357" s="548" t="str">
        <f>Planilha!C44</f>
        <v>TELHAMENTO COM TELHA CERÂMICA CAPA-CANAL, TIPO COLONIAL, COM ATÉ 2 ÁGUAS,INCLUSO TRANSPORTE VERTICAL. AF_07/2019</v>
      </c>
      <c r="C357" s="549"/>
      <c r="D357" s="549"/>
      <c r="E357" s="550"/>
      <c r="F357" s="81">
        <f>F365+F374</f>
        <v>256.23</v>
      </c>
      <c r="G357" s="80" t="s">
        <v>94</v>
      </c>
    </row>
    <row r="358" spans="1:7" ht="12.75">
      <c r="A358" s="33"/>
      <c r="B358" s="491"/>
      <c r="C358" s="70"/>
      <c r="D358" s="224"/>
      <c r="E358" s="70"/>
      <c r="F358" s="261"/>
      <c r="G358" s="35"/>
    </row>
    <row r="359" spans="1:7" ht="12.75">
      <c r="A359" s="33"/>
      <c r="B359" s="491"/>
      <c r="C359" s="560" t="s">
        <v>245</v>
      </c>
      <c r="D359" s="561"/>
      <c r="E359" s="561"/>
      <c r="F359" s="562"/>
      <c r="G359" s="35"/>
    </row>
    <row r="360" spans="1:7" ht="12.75">
      <c r="A360" s="33"/>
      <c r="B360" s="488" t="s">
        <v>20</v>
      </c>
      <c r="C360" s="488" t="s">
        <v>250</v>
      </c>
      <c r="D360" s="488" t="s">
        <v>209</v>
      </c>
      <c r="E360" s="488" t="s">
        <v>246</v>
      </c>
      <c r="F360" s="196" t="s">
        <v>247</v>
      </c>
      <c r="G360" s="35"/>
    </row>
    <row r="361" spans="1:7" ht="12.75">
      <c r="A361" s="33"/>
      <c r="B361" s="104" t="s">
        <v>245</v>
      </c>
      <c r="C361" s="104">
        <v>9.2</v>
      </c>
      <c r="D361" s="104">
        <v>22.35</v>
      </c>
      <c r="E361" s="104">
        <v>0.5</v>
      </c>
      <c r="F361" s="223">
        <f>(((C361+(E361*2))*((D361+(E361*2)))))</f>
        <v>238.17</v>
      </c>
      <c r="G361" s="35"/>
    </row>
    <row r="362" spans="1:7" ht="12.75">
      <c r="A362" s="33"/>
      <c r="B362" s="491"/>
      <c r="C362" s="70"/>
      <c r="D362" s="70"/>
      <c r="E362" s="70"/>
      <c r="F362" s="34"/>
      <c r="G362" s="35"/>
    </row>
    <row r="363" spans="1:7" ht="12.75">
      <c r="A363" s="33"/>
      <c r="B363" s="491"/>
      <c r="C363" s="70"/>
      <c r="D363" s="488" t="s">
        <v>36</v>
      </c>
      <c r="E363" s="488" t="s">
        <v>248</v>
      </c>
      <c r="F363" s="190"/>
      <c r="G363" s="35"/>
    </row>
    <row r="364" spans="1:7" ht="13.5" thickBot="1">
      <c r="A364" s="33"/>
      <c r="B364" s="491"/>
      <c r="C364" s="70"/>
      <c r="D364" s="225">
        <v>0.3</v>
      </c>
      <c r="E364" s="76">
        <v>1.044</v>
      </c>
      <c r="F364" s="193"/>
      <c r="G364" s="35"/>
    </row>
    <row r="365" spans="1:7" ht="13.5" thickBot="1">
      <c r="A365" s="33"/>
      <c r="B365" s="491"/>
      <c r="C365" s="70"/>
      <c r="D365" s="224"/>
      <c r="E365" s="226" t="s">
        <v>2</v>
      </c>
      <c r="F365" s="212">
        <f>F361*E364</f>
        <v>248.65</v>
      </c>
      <c r="G365" s="35"/>
    </row>
    <row r="366" spans="1:7" ht="12.75">
      <c r="A366" s="33"/>
      <c r="B366" s="491"/>
      <c r="C366" s="70"/>
      <c r="D366" s="224"/>
      <c r="E366" s="259"/>
      <c r="F366" s="260"/>
      <c r="G366" s="35"/>
    </row>
    <row r="367" spans="1:7" ht="12.75">
      <c r="A367" s="33"/>
      <c r="B367" s="532"/>
      <c r="C367" s="70"/>
      <c r="D367" s="224"/>
      <c r="E367" s="259"/>
      <c r="F367" s="260"/>
      <c r="G367" s="35"/>
    </row>
    <row r="368" spans="1:7" ht="12.75">
      <c r="A368" s="33"/>
      <c r="B368" s="532"/>
      <c r="C368" s="579" t="s">
        <v>233</v>
      </c>
      <c r="D368" s="579"/>
      <c r="E368" s="579"/>
      <c r="F368" s="579"/>
      <c r="G368" s="35"/>
    </row>
    <row r="369" spans="1:7" ht="12.75">
      <c r="A369" s="33"/>
      <c r="B369" s="532"/>
      <c r="C369" s="530" t="s">
        <v>250</v>
      </c>
      <c r="D369" s="530" t="s">
        <v>209</v>
      </c>
      <c r="E369" s="530" t="s">
        <v>246</v>
      </c>
      <c r="F369" s="196" t="s">
        <v>247</v>
      </c>
      <c r="G369" s="35"/>
    </row>
    <row r="370" spans="1:7" ht="12.75">
      <c r="A370" s="33"/>
      <c r="B370" s="532"/>
      <c r="C370" s="104">
        <v>1.2</v>
      </c>
      <c r="D370" s="104">
        <v>2.3</v>
      </c>
      <c r="E370" s="104">
        <v>0.5</v>
      </c>
      <c r="F370" s="223">
        <f>(((C370+(E370*2))*((D370+(E370*2)))))</f>
        <v>7.26</v>
      </c>
      <c r="G370" s="35"/>
    </row>
    <row r="371" spans="1:7" ht="12.75">
      <c r="A371" s="33"/>
      <c r="B371" s="532"/>
      <c r="C371" s="70"/>
      <c r="D371" s="224"/>
      <c r="E371" s="70"/>
      <c r="F371" s="34"/>
      <c r="G371" s="35"/>
    </row>
    <row r="372" spans="1:7" ht="12.75">
      <c r="A372" s="33"/>
      <c r="B372" s="532"/>
      <c r="C372" s="70"/>
      <c r="D372" s="530" t="s">
        <v>36</v>
      </c>
      <c r="E372" s="530" t="s">
        <v>248</v>
      </c>
      <c r="F372" s="190"/>
      <c r="G372" s="35"/>
    </row>
    <row r="373" spans="1:7" ht="13.5" thickBot="1">
      <c r="A373" s="33"/>
      <c r="B373" s="532"/>
      <c r="C373" s="70"/>
      <c r="D373" s="225">
        <v>0.3</v>
      </c>
      <c r="E373" s="76">
        <v>1.044</v>
      </c>
      <c r="F373" s="193"/>
      <c r="G373" s="35"/>
    </row>
    <row r="374" spans="1:7" ht="13.5" thickBot="1">
      <c r="A374" s="33"/>
      <c r="B374" s="491"/>
      <c r="C374" s="70"/>
      <c r="D374" s="224"/>
      <c r="E374" s="226" t="s">
        <v>2</v>
      </c>
      <c r="F374" s="212">
        <f>F370*E373</f>
        <v>7.58</v>
      </c>
      <c r="G374" s="35"/>
    </row>
    <row r="375" spans="1:7" ht="13.5" thickBot="1">
      <c r="A375" s="33"/>
      <c r="B375" s="532"/>
      <c r="C375" s="70"/>
      <c r="D375" s="224"/>
      <c r="E375" s="537"/>
      <c r="F375" s="538"/>
      <c r="G375" s="193"/>
    </row>
    <row r="376" spans="1:7" ht="43.5" customHeight="1" thickBot="1">
      <c r="A376" s="80" t="s">
        <v>371</v>
      </c>
      <c r="B376" s="548" t="str">
        <f>Planilha!C45</f>
        <v>FORRO EM RÉGUA DE PVC, LARGURA 20CM, NA COR BRANCA, INCLUSIVE ESTRUTURA DE FIXAÇÃO E PENDURAIS METÁLICOS E ACESSÓRIOS DE FIXAÇÃO, EXCLUSIVE RODAFORRO OU MOLDURA</v>
      </c>
      <c r="C376" s="549"/>
      <c r="D376" s="549"/>
      <c r="E376" s="550"/>
      <c r="F376" s="81">
        <f>E403</f>
        <v>173.44</v>
      </c>
      <c r="G376" s="80" t="s">
        <v>19</v>
      </c>
    </row>
    <row r="377" spans="1:7" ht="15" customHeight="1">
      <c r="A377" s="33"/>
      <c r="B377" s="489"/>
      <c r="C377" s="37"/>
      <c r="D377" s="34"/>
      <c r="E377" s="45"/>
      <c r="F377" s="34"/>
      <c r="G377" s="32"/>
    </row>
    <row r="378" spans="1:7" ht="15" customHeight="1">
      <c r="A378" s="485"/>
      <c r="B378" s="112" t="s">
        <v>20</v>
      </c>
      <c r="C378" s="112" t="s">
        <v>21</v>
      </c>
      <c r="D378" s="112" t="s">
        <v>26</v>
      </c>
      <c r="E378" s="112" t="s">
        <v>23</v>
      </c>
      <c r="F378" s="50"/>
      <c r="G378" s="35"/>
    </row>
    <row r="379" spans="1:7" ht="15" customHeight="1">
      <c r="A379" s="556"/>
      <c r="B379" s="104" t="s">
        <v>208</v>
      </c>
      <c r="C379" s="106">
        <v>2.45</v>
      </c>
      <c r="D379" s="106">
        <v>3.25</v>
      </c>
      <c r="E379" s="106">
        <f aca="true" t="shared" si="11" ref="E379:E402">C379*D379</f>
        <v>7.96</v>
      </c>
      <c r="F379" s="41"/>
      <c r="G379" s="35"/>
    </row>
    <row r="380" spans="1:7" ht="15" customHeight="1">
      <c r="A380" s="556"/>
      <c r="B380" s="104" t="s">
        <v>211</v>
      </c>
      <c r="C380" s="106">
        <v>1.75</v>
      </c>
      <c r="D380" s="106">
        <v>3.25</v>
      </c>
      <c r="E380" s="106">
        <f t="shared" si="11"/>
        <v>5.69</v>
      </c>
      <c r="F380" s="41"/>
      <c r="G380" s="35"/>
    </row>
    <row r="381" spans="1:7" ht="12.75">
      <c r="A381" s="556"/>
      <c r="B381" s="92" t="s">
        <v>417</v>
      </c>
      <c r="C381" s="106">
        <v>1.8</v>
      </c>
      <c r="D381" s="106">
        <v>3.25</v>
      </c>
      <c r="E381" s="106">
        <f t="shared" si="11"/>
        <v>5.85</v>
      </c>
      <c r="F381" s="41"/>
      <c r="G381" s="35"/>
    </row>
    <row r="382" spans="1:7" ht="12.75">
      <c r="A382" s="556"/>
      <c r="B382" s="104" t="s">
        <v>221</v>
      </c>
      <c r="C382" s="106">
        <v>3.05</v>
      </c>
      <c r="D382" s="106">
        <v>3.25</v>
      </c>
      <c r="E382" s="106">
        <f t="shared" si="11"/>
        <v>9.91</v>
      </c>
      <c r="F382" s="41"/>
      <c r="G382" s="35"/>
    </row>
    <row r="383" spans="1:7" ht="15.75" customHeight="1">
      <c r="A383" s="485"/>
      <c r="B383" s="104" t="s">
        <v>271</v>
      </c>
      <c r="C383" s="106">
        <v>1.38</v>
      </c>
      <c r="D383" s="106">
        <v>2</v>
      </c>
      <c r="E383" s="106">
        <f t="shared" si="11"/>
        <v>2.76</v>
      </c>
      <c r="F383" s="41"/>
      <c r="G383" s="35"/>
    </row>
    <row r="384" spans="1:7" ht="12.75">
      <c r="A384" s="485"/>
      <c r="B384" s="104" t="s">
        <v>272</v>
      </c>
      <c r="C384" s="106">
        <v>1.38</v>
      </c>
      <c r="D384" s="106">
        <v>2</v>
      </c>
      <c r="E384" s="106">
        <f t="shared" si="11"/>
        <v>2.76</v>
      </c>
      <c r="F384" s="41"/>
      <c r="G384" s="35"/>
    </row>
    <row r="385" spans="1:7" ht="12.75">
      <c r="A385" s="33"/>
      <c r="B385" s="92" t="s">
        <v>206</v>
      </c>
      <c r="C385" s="92">
        <v>2.6</v>
      </c>
      <c r="D385" s="92">
        <v>4.4</v>
      </c>
      <c r="E385" s="106">
        <f t="shared" si="11"/>
        <v>11.44</v>
      </c>
      <c r="F385" s="37"/>
      <c r="G385" s="35"/>
    </row>
    <row r="386" spans="1:7" ht="12.75">
      <c r="A386" s="33"/>
      <c r="B386" s="92" t="s">
        <v>413</v>
      </c>
      <c r="C386" s="92">
        <v>3.3</v>
      </c>
      <c r="D386" s="92">
        <v>1.35</v>
      </c>
      <c r="E386" s="106">
        <f t="shared" si="11"/>
        <v>4.46</v>
      </c>
      <c r="F386" s="37"/>
      <c r="G386" s="35"/>
    </row>
    <row r="387" spans="1:7" ht="12.75">
      <c r="A387" s="33"/>
      <c r="B387" s="92" t="s">
        <v>388</v>
      </c>
      <c r="C387" s="92">
        <v>3.3</v>
      </c>
      <c r="D387" s="92">
        <v>3.1</v>
      </c>
      <c r="E387" s="106">
        <f t="shared" si="11"/>
        <v>10.23</v>
      </c>
      <c r="F387" s="37"/>
      <c r="G387" s="35"/>
    </row>
    <row r="388" spans="1:7" ht="12.75">
      <c r="A388" s="33"/>
      <c r="B388" s="92" t="s">
        <v>203</v>
      </c>
      <c r="C388" s="92">
        <v>2.15</v>
      </c>
      <c r="D388" s="92">
        <v>1.6</v>
      </c>
      <c r="E388" s="106">
        <f t="shared" si="11"/>
        <v>3.44</v>
      </c>
      <c r="F388" s="37"/>
      <c r="G388" s="35"/>
    </row>
    <row r="389" spans="1:7" ht="12.75">
      <c r="A389" s="33"/>
      <c r="B389" s="92" t="s">
        <v>214</v>
      </c>
      <c r="C389" s="92">
        <v>3.3</v>
      </c>
      <c r="D389" s="92">
        <v>2.6</v>
      </c>
      <c r="E389" s="106">
        <f t="shared" si="11"/>
        <v>8.58</v>
      </c>
      <c r="F389" s="37"/>
      <c r="G389" s="35"/>
    </row>
    <row r="390" spans="1:7" ht="12.75">
      <c r="A390" s="33"/>
      <c r="B390" s="92" t="s">
        <v>207</v>
      </c>
      <c r="C390" s="92">
        <v>4.5</v>
      </c>
      <c r="D390" s="92">
        <v>2.6</v>
      </c>
      <c r="E390" s="106">
        <f t="shared" si="11"/>
        <v>11.7</v>
      </c>
      <c r="F390" s="37"/>
      <c r="G390" s="35"/>
    </row>
    <row r="391" spans="1:7" ht="12.75">
      <c r="A391" s="33"/>
      <c r="B391" s="92" t="s">
        <v>528</v>
      </c>
      <c r="C391" s="92">
        <v>2.6</v>
      </c>
      <c r="D391" s="92">
        <v>1.3</v>
      </c>
      <c r="E391" s="106">
        <f t="shared" si="11"/>
        <v>3.38</v>
      </c>
      <c r="F391" s="37"/>
      <c r="G391" s="35"/>
    </row>
    <row r="392" spans="1:7" ht="12.75">
      <c r="A392" s="33"/>
      <c r="B392" s="92" t="s">
        <v>257</v>
      </c>
      <c r="C392" s="92">
        <v>3.05</v>
      </c>
      <c r="D392" s="92">
        <v>1.6</v>
      </c>
      <c r="E392" s="106">
        <f t="shared" si="11"/>
        <v>4.88</v>
      </c>
      <c r="F392" s="37"/>
      <c r="G392" s="35"/>
    </row>
    <row r="393" spans="1:7" ht="12.75">
      <c r="A393" s="33"/>
      <c r="B393" s="92" t="s">
        <v>201</v>
      </c>
      <c r="C393" s="92">
        <v>3.05</v>
      </c>
      <c r="D393" s="92">
        <v>2.4</v>
      </c>
      <c r="E393" s="106">
        <f t="shared" si="11"/>
        <v>7.32</v>
      </c>
      <c r="F393" s="37"/>
      <c r="G393" s="35"/>
    </row>
    <row r="394" spans="1:7" ht="12.75">
      <c r="A394" s="33"/>
      <c r="B394" s="92" t="s">
        <v>205</v>
      </c>
      <c r="C394" s="92">
        <v>3.6</v>
      </c>
      <c r="D394" s="92">
        <v>4.15</v>
      </c>
      <c r="E394" s="106">
        <f t="shared" si="11"/>
        <v>14.94</v>
      </c>
      <c r="F394" s="37"/>
      <c r="G394" s="35"/>
    </row>
    <row r="395" spans="1:7" ht="12.75">
      <c r="A395" s="33"/>
      <c r="B395" s="92" t="s">
        <v>217</v>
      </c>
      <c r="C395" s="92">
        <v>1.2</v>
      </c>
      <c r="D395" s="92">
        <v>1.2</v>
      </c>
      <c r="E395" s="106">
        <f t="shared" si="11"/>
        <v>1.44</v>
      </c>
      <c r="F395" s="37"/>
      <c r="G395" s="35"/>
    </row>
    <row r="396" spans="1:7" ht="12.75">
      <c r="A396" s="33"/>
      <c r="B396" s="86" t="s">
        <v>252</v>
      </c>
      <c r="C396" s="86">
        <v>2.05</v>
      </c>
      <c r="D396" s="86">
        <v>1.7</v>
      </c>
      <c r="E396" s="106">
        <f t="shared" si="11"/>
        <v>3.49</v>
      </c>
      <c r="F396" s="37"/>
      <c r="G396" s="35"/>
    </row>
    <row r="397" spans="1:7" ht="12.75">
      <c r="A397" s="33"/>
      <c r="B397" s="92" t="s">
        <v>268</v>
      </c>
      <c r="C397" s="92">
        <v>2.05</v>
      </c>
      <c r="D397" s="92">
        <v>2.3</v>
      </c>
      <c r="E397" s="106">
        <f t="shared" si="11"/>
        <v>4.72</v>
      </c>
      <c r="F397" s="37"/>
      <c r="G397" s="35"/>
    </row>
    <row r="398" spans="1:7" ht="12.75">
      <c r="A398" s="33"/>
      <c r="B398" s="92" t="s">
        <v>218</v>
      </c>
      <c r="C398" s="92">
        <v>9.15</v>
      </c>
      <c r="D398" s="92">
        <v>1.2</v>
      </c>
      <c r="E398" s="106">
        <f t="shared" si="11"/>
        <v>10.98</v>
      </c>
      <c r="F398" s="37"/>
      <c r="G398" s="35"/>
    </row>
    <row r="399" spans="1:7" ht="12.75">
      <c r="A399" s="33"/>
      <c r="B399" s="92" t="s">
        <v>219</v>
      </c>
      <c r="C399" s="92">
        <v>6.7</v>
      </c>
      <c r="D399" s="92">
        <v>2.75</v>
      </c>
      <c r="E399" s="106">
        <f t="shared" si="11"/>
        <v>18.43</v>
      </c>
      <c r="F399" s="37"/>
      <c r="G399" s="35"/>
    </row>
    <row r="400" spans="1:7" ht="12.75">
      <c r="A400" s="33"/>
      <c r="B400" s="92" t="s">
        <v>273</v>
      </c>
      <c r="C400" s="92">
        <v>2.9</v>
      </c>
      <c r="D400" s="92">
        <v>1.25</v>
      </c>
      <c r="E400" s="106">
        <f t="shared" si="11"/>
        <v>3.63</v>
      </c>
      <c r="F400" s="37"/>
      <c r="G400" s="35"/>
    </row>
    <row r="401" spans="1:7" ht="12.75">
      <c r="A401" s="33"/>
      <c r="B401" s="92" t="s">
        <v>274</v>
      </c>
      <c r="C401" s="92">
        <v>3.9</v>
      </c>
      <c r="D401" s="92">
        <v>1.6</v>
      </c>
      <c r="E401" s="106">
        <f t="shared" si="11"/>
        <v>6.24</v>
      </c>
      <c r="F401" s="37"/>
      <c r="G401" s="35"/>
    </row>
    <row r="402" spans="1:7" ht="13.5" thickBot="1">
      <c r="A402" s="33"/>
      <c r="B402" s="92" t="s">
        <v>256</v>
      </c>
      <c r="C402" s="92">
        <v>3.35</v>
      </c>
      <c r="D402" s="92">
        <v>2.75</v>
      </c>
      <c r="E402" s="106">
        <f t="shared" si="11"/>
        <v>9.21</v>
      </c>
      <c r="F402" s="37"/>
      <c r="G402" s="35"/>
    </row>
    <row r="403" spans="1:7" ht="13.5" thickBot="1">
      <c r="A403" s="33"/>
      <c r="B403" s="70"/>
      <c r="C403" s="45"/>
      <c r="D403" s="195" t="s">
        <v>2</v>
      </c>
      <c r="E403" s="205">
        <f>SUM(E379:E402)</f>
        <v>173.44</v>
      </c>
      <c r="F403" s="34"/>
      <c r="G403" s="35"/>
    </row>
    <row r="404" spans="1:7" ht="13.5" thickBot="1">
      <c r="A404" s="33"/>
      <c r="B404" s="70"/>
      <c r="C404" s="45"/>
      <c r="D404" s="222"/>
      <c r="E404" s="277"/>
      <c r="F404" s="34"/>
      <c r="G404" s="35"/>
    </row>
    <row r="405" spans="1:7" ht="13.5" thickBot="1">
      <c r="A405" s="80" t="s">
        <v>372</v>
      </c>
      <c r="B405" s="548" t="str">
        <f>Planilha!C46</f>
        <v>ACABAMENTOS PARA FORRO (RODA-FORRO EM PERFIL METÁLICO E PLÁSTICO). AF_ 05/2017</v>
      </c>
      <c r="C405" s="549"/>
      <c r="D405" s="549"/>
      <c r="E405" s="550"/>
      <c r="F405" s="81">
        <f>E431</f>
        <v>239.42</v>
      </c>
      <c r="G405" s="80" t="s">
        <v>25</v>
      </c>
    </row>
    <row r="406" spans="1:7" ht="12.75">
      <c r="A406" s="33"/>
      <c r="B406" s="489"/>
      <c r="C406" s="37"/>
      <c r="D406" s="34"/>
      <c r="E406" s="45"/>
      <c r="F406" s="34"/>
      <c r="G406" s="32"/>
    </row>
    <row r="407" spans="1:7" ht="12.75">
      <c r="A407" s="33"/>
      <c r="B407" s="112" t="s">
        <v>20</v>
      </c>
      <c r="C407" s="112" t="s">
        <v>250</v>
      </c>
      <c r="D407" s="112" t="s">
        <v>275</v>
      </c>
      <c r="E407" s="112" t="s">
        <v>276</v>
      </c>
      <c r="F407" s="34"/>
      <c r="G407" s="35"/>
    </row>
    <row r="408" spans="1:7" ht="12.75">
      <c r="A408" s="33"/>
      <c r="B408" s="104" t="s">
        <v>208</v>
      </c>
      <c r="C408" s="106">
        <v>2.45</v>
      </c>
      <c r="D408" s="106">
        <v>3.25</v>
      </c>
      <c r="E408" s="106">
        <f aca="true" t="shared" si="12" ref="E408:E425">(C408+D408)*2</f>
        <v>11.4</v>
      </c>
      <c r="F408" s="34"/>
      <c r="G408" s="35"/>
    </row>
    <row r="409" spans="1:7" ht="12.75">
      <c r="A409" s="33"/>
      <c r="B409" s="104" t="s">
        <v>211</v>
      </c>
      <c r="C409" s="106">
        <v>1.75</v>
      </c>
      <c r="D409" s="106">
        <v>3.25</v>
      </c>
      <c r="E409" s="106">
        <f t="shared" si="12"/>
        <v>10</v>
      </c>
      <c r="F409" s="34"/>
      <c r="G409" s="35"/>
    </row>
    <row r="410" spans="1:7" ht="12.75">
      <c r="A410" s="33"/>
      <c r="B410" s="92" t="s">
        <v>417</v>
      </c>
      <c r="C410" s="106">
        <v>1.8</v>
      </c>
      <c r="D410" s="106">
        <v>3.25</v>
      </c>
      <c r="E410" s="106">
        <f t="shared" si="12"/>
        <v>10.1</v>
      </c>
      <c r="F410" s="34"/>
      <c r="G410" s="35"/>
    </row>
    <row r="411" spans="1:7" ht="20.25" customHeight="1">
      <c r="A411" s="33"/>
      <c r="B411" s="104" t="s">
        <v>221</v>
      </c>
      <c r="C411" s="106">
        <v>3.05</v>
      </c>
      <c r="D411" s="106">
        <v>3.25</v>
      </c>
      <c r="E411" s="106">
        <f t="shared" si="12"/>
        <v>12.6</v>
      </c>
      <c r="F411" s="34"/>
      <c r="G411" s="35"/>
    </row>
    <row r="412" spans="1:7" ht="12.75">
      <c r="A412" s="33"/>
      <c r="B412" s="104" t="s">
        <v>271</v>
      </c>
      <c r="C412" s="106">
        <v>1.38</v>
      </c>
      <c r="D412" s="106">
        <v>2</v>
      </c>
      <c r="E412" s="257">
        <f t="shared" si="12"/>
        <v>6.76</v>
      </c>
      <c r="F412" s="34"/>
      <c r="G412" s="35"/>
    </row>
    <row r="413" spans="1:7" ht="12.75">
      <c r="A413" s="33"/>
      <c r="B413" s="104" t="s">
        <v>272</v>
      </c>
      <c r="C413" s="106">
        <v>1.38</v>
      </c>
      <c r="D413" s="106">
        <v>2</v>
      </c>
      <c r="E413" s="257">
        <f t="shared" si="12"/>
        <v>6.76</v>
      </c>
      <c r="F413" s="34"/>
      <c r="G413" s="35"/>
    </row>
    <row r="414" spans="1:7" ht="12.75">
      <c r="A414" s="33"/>
      <c r="B414" s="92" t="s">
        <v>206</v>
      </c>
      <c r="C414" s="92">
        <v>2.6</v>
      </c>
      <c r="D414" s="92">
        <v>4.4</v>
      </c>
      <c r="E414" s="106">
        <f t="shared" si="12"/>
        <v>14</v>
      </c>
      <c r="F414" s="34"/>
      <c r="G414" s="35"/>
    </row>
    <row r="415" spans="1:7" ht="12.75">
      <c r="A415" s="33"/>
      <c r="B415" s="92" t="s">
        <v>413</v>
      </c>
      <c r="C415" s="92">
        <v>3.3</v>
      </c>
      <c r="D415" s="92">
        <v>1.35</v>
      </c>
      <c r="E415" s="257">
        <f t="shared" si="12"/>
        <v>9.3</v>
      </c>
      <c r="F415" s="34"/>
      <c r="G415" s="35"/>
    </row>
    <row r="416" spans="1:7" ht="12.75">
      <c r="A416" s="33"/>
      <c r="B416" s="92" t="s">
        <v>216</v>
      </c>
      <c r="C416" s="92">
        <v>3.3</v>
      </c>
      <c r="D416" s="92">
        <v>3.1</v>
      </c>
      <c r="E416" s="106">
        <f t="shared" si="12"/>
        <v>12.8</v>
      </c>
      <c r="F416" s="34"/>
      <c r="G416" s="35"/>
    </row>
    <row r="417" spans="1:7" ht="12.75">
      <c r="A417" s="194"/>
      <c r="B417" s="206" t="s">
        <v>203</v>
      </c>
      <c r="C417" s="206">
        <v>2.15</v>
      </c>
      <c r="D417" s="206">
        <v>1.6</v>
      </c>
      <c r="E417" s="257">
        <f t="shared" si="12"/>
        <v>7.5</v>
      </c>
      <c r="F417" s="242"/>
      <c r="G417" s="266"/>
    </row>
    <row r="418" spans="1:7" ht="12.75">
      <c r="A418" s="33"/>
      <c r="B418" s="92" t="s">
        <v>214</v>
      </c>
      <c r="C418" s="92">
        <v>3.3</v>
      </c>
      <c r="D418" s="92">
        <v>2.6</v>
      </c>
      <c r="E418" s="106">
        <f t="shared" si="12"/>
        <v>11.8</v>
      </c>
      <c r="F418" s="34"/>
      <c r="G418" s="35"/>
    </row>
    <row r="419" spans="1:7" ht="12.75">
      <c r="A419" s="33"/>
      <c r="B419" s="92" t="s">
        <v>207</v>
      </c>
      <c r="C419" s="92">
        <v>5.95</v>
      </c>
      <c r="D419" s="92">
        <v>2.6</v>
      </c>
      <c r="E419" s="106">
        <f t="shared" si="12"/>
        <v>17.1</v>
      </c>
      <c r="F419" s="34"/>
      <c r="G419" s="35"/>
    </row>
    <row r="420" spans="1:16" ht="12.75" customHeight="1">
      <c r="A420" s="33"/>
      <c r="B420" s="92" t="s">
        <v>257</v>
      </c>
      <c r="C420" s="92">
        <v>3.05</v>
      </c>
      <c r="D420" s="92">
        <v>1.6</v>
      </c>
      <c r="E420" s="106">
        <f t="shared" si="12"/>
        <v>9.3</v>
      </c>
      <c r="F420" s="34"/>
      <c r="G420" s="35"/>
      <c r="O420" s="199"/>
      <c r="P420" s="199"/>
    </row>
    <row r="421" spans="1:7" ht="12.75" customHeight="1">
      <c r="A421" s="33"/>
      <c r="B421" s="92" t="s">
        <v>201</v>
      </c>
      <c r="C421" s="92">
        <v>3.05</v>
      </c>
      <c r="D421" s="92">
        <v>2.4</v>
      </c>
      <c r="E421" s="106">
        <f t="shared" si="12"/>
        <v>10.9</v>
      </c>
      <c r="F421" s="34"/>
      <c r="G421" s="35"/>
    </row>
    <row r="422" spans="1:7" ht="12.75">
      <c r="A422" s="33"/>
      <c r="B422" s="92" t="s">
        <v>205</v>
      </c>
      <c r="C422" s="92">
        <v>3.6</v>
      </c>
      <c r="D422" s="92">
        <v>4.15</v>
      </c>
      <c r="E422" s="106">
        <f t="shared" si="12"/>
        <v>15.5</v>
      </c>
      <c r="F422" s="34"/>
      <c r="G422" s="35"/>
    </row>
    <row r="423" spans="1:7" ht="12.75">
      <c r="A423" s="33"/>
      <c r="B423" s="92" t="s">
        <v>217</v>
      </c>
      <c r="C423" s="92">
        <v>1.2</v>
      </c>
      <c r="D423" s="92">
        <v>1.2</v>
      </c>
      <c r="E423" s="106">
        <f t="shared" si="12"/>
        <v>4.8</v>
      </c>
      <c r="F423" s="34"/>
      <c r="G423" s="35"/>
    </row>
    <row r="424" spans="1:7" ht="12.75">
      <c r="A424" s="33"/>
      <c r="B424" s="86" t="s">
        <v>252</v>
      </c>
      <c r="C424" s="86">
        <v>2.05</v>
      </c>
      <c r="D424" s="86">
        <v>1.7</v>
      </c>
      <c r="E424" s="106">
        <f t="shared" si="12"/>
        <v>7.5</v>
      </c>
      <c r="F424" s="34"/>
      <c r="G424" s="35"/>
    </row>
    <row r="425" spans="1:7" ht="12.75">
      <c r="A425" s="33"/>
      <c r="B425" s="92" t="s">
        <v>268</v>
      </c>
      <c r="C425" s="92">
        <v>2.05</v>
      </c>
      <c r="D425" s="92">
        <v>2.3</v>
      </c>
      <c r="E425" s="106">
        <f t="shared" si="12"/>
        <v>8.7</v>
      </c>
      <c r="F425" s="34"/>
      <c r="G425" s="35"/>
    </row>
    <row r="426" spans="1:7" ht="12.75">
      <c r="A426" s="33"/>
      <c r="B426" s="92" t="s">
        <v>218</v>
      </c>
      <c r="C426" s="92">
        <v>9.15</v>
      </c>
      <c r="D426" s="92">
        <v>1.2</v>
      </c>
      <c r="E426" s="106">
        <f>(C426*2)+D426</f>
        <v>19.5</v>
      </c>
      <c r="F426" s="34"/>
      <c r="G426" s="35"/>
    </row>
    <row r="427" spans="1:7" ht="12.75">
      <c r="A427" s="33"/>
      <c r="B427" s="92" t="s">
        <v>219</v>
      </c>
      <c r="C427" s="92">
        <v>3.35</v>
      </c>
      <c r="D427" s="92">
        <v>2.75</v>
      </c>
      <c r="E427" s="106">
        <f>(C427*2)+D427</f>
        <v>9.45</v>
      </c>
      <c r="F427" s="34"/>
      <c r="G427" s="35"/>
    </row>
    <row r="428" spans="1:7" ht="12.75">
      <c r="A428" s="33"/>
      <c r="B428" s="92" t="s">
        <v>273</v>
      </c>
      <c r="C428" s="92">
        <v>2.9</v>
      </c>
      <c r="D428" s="92">
        <v>1.25</v>
      </c>
      <c r="E428" s="106">
        <f>C428+(D428*2)</f>
        <v>5.4</v>
      </c>
      <c r="F428" s="34"/>
      <c r="G428" s="35"/>
    </row>
    <row r="429" spans="1:7" ht="12.75">
      <c r="A429" s="33"/>
      <c r="B429" s="92" t="s">
        <v>274</v>
      </c>
      <c r="C429" s="92">
        <v>3.9</v>
      </c>
      <c r="D429" s="92">
        <v>1.6</v>
      </c>
      <c r="E429" s="106">
        <f>(C429*2)+D429</f>
        <v>9.4</v>
      </c>
      <c r="F429" s="242"/>
      <c r="G429" s="266"/>
    </row>
    <row r="430" spans="1:7" ht="13.5" thickBot="1">
      <c r="A430" s="33"/>
      <c r="B430" s="92" t="s">
        <v>256</v>
      </c>
      <c r="C430" s="92">
        <v>3.35</v>
      </c>
      <c r="D430" s="86">
        <v>2.75</v>
      </c>
      <c r="E430" s="106">
        <f>C430+(D430*2)</f>
        <v>8.85</v>
      </c>
      <c r="F430" s="34"/>
      <c r="G430" s="35"/>
    </row>
    <row r="431" spans="1:7" ht="13.5" thickBot="1">
      <c r="A431" s="33"/>
      <c r="B431" s="70"/>
      <c r="C431" s="45"/>
      <c r="D431" s="195" t="s">
        <v>2</v>
      </c>
      <c r="E431" s="205">
        <f>SUM(E408:E430)</f>
        <v>239.42</v>
      </c>
      <c r="F431" s="34"/>
      <c r="G431" s="35"/>
    </row>
    <row r="432" spans="1:7" ht="13.5" thickBot="1">
      <c r="A432" s="33"/>
      <c r="B432" s="491"/>
      <c r="C432" s="70"/>
      <c r="D432" s="224"/>
      <c r="E432" s="70"/>
      <c r="F432" s="261"/>
      <c r="G432" s="35"/>
    </row>
    <row r="433" spans="1:7" ht="13.5" thickBot="1">
      <c r="A433" s="79">
        <v>7</v>
      </c>
      <c r="B433" s="557" t="s">
        <v>60</v>
      </c>
      <c r="C433" s="558"/>
      <c r="D433" s="558"/>
      <c r="E433" s="558"/>
      <c r="F433" s="558"/>
      <c r="G433" s="559"/>
    </row>
    <row r="434" spans="1:7" ht="13.5" thickBot="1">
      <c r="A434" s="64"/>
      <c r="B434" s="60"/>
      <c r="C434" s="68"/>
      <c r="D434" s="52"/>
      <c r="E434" s="52"/>
      <c r="F434" s="34"/>
      <c r="G434" s="35"/>
    </row>
    <row r="435" spans="1:7" ht="13.5" thickBot="1">
      <c r="A435" s="80" t="s">
        <v>65</v>
      </c>
      <c r="B435" s="548" t="s">
        <v>53</v>
      </c>
      <c r="C435" s="549"/>
      <c r="D435" s="549"/>
      <c r="E435" s="550"/>
      <c r="F435" s="81">
        <f>F450</f>
        <v>122.86</v>
      </c>
      <c r="G435" s="80" t="s">
        <v>94</v>
      </c>
    </row>
    <row r="436" spans="1:7" ht="12.75">
      <c r="A436" s="29"/>
      <c r="B436" s="34"/>
      <c r="C436" s="34"/>
      <c r="D436" s="34"/>
      <c r="E436" s="45"/>
      <c r="F436" s="34"/>
      <c r="G436" s="35"/>
    </row>
    <row r="437" spans="1:7" ht="12.75">
      <c r="A437" s="486"/>
      <c r="B437" s="112" t="s">
        <v>20</v>
      </c>
      <c r="C437" s="112" t="s">
        <v>21</v>
      </c>
      <c r="D437" s="112" t="s">
        <v>22</v>
      </c>
      <c r="E437" s="112" t="s">
        <v>24</v>
      </c>
      <c r="F437" s="237" t="s">
        <v>23</v>
      </c>
      <c r="G437" s="55"/>
    </row>
    <row r="438" spans="1:7" ht="12.75">
      <c r="A438" s="485"/>
      <c r="B438" s="101" t="s">
        <v>258</v>
      </c>
      <c r="C438" s="106">
        <v>2.9</v>
      </c>
      <c r="D438" s="106">
        <v>3</v>
      </c>
      <c r="E438" s="107">
        <v>2</v>
      </c>
      <c r="F438" s="108">
        <f aca="true" t="shared" si="13" ref="F438:F448">C438*D438*E438</f>
        <v>17.4</v>
      </c>
      <c r="G438" s="55"/>
    </row>
    <row r="439" spans="1:7" ht="12.75">
      <c r="A439" s="485"/>
      <c r="B439" s="101" t="s">
        <v>259</v>
      </c>
      <c r="C439" s="106">
        <v>2</v>
      </c>
      <c r="D439" s="106">
        <v>3</v>
      </c>
      <c r="E439" s="107">
        <v>2</v>
      </c>
      <c r="F439" s="108">
        <f t="shared" si="13"/>
        <v>12</v>
      </c>
      <c r="G439" s="55"/>
    </row>
    <row r="440" spans="1:7" ht="12.75">
      <c r="A440" s="485"/>
      <c r="B440" s="101" t="s">
        <v>206</v>
      </c>
      <c r="C440" s="106">
        <v>2.6</v>
      </c>
      <c r="D440" s="106">
        <v>3</v>
      </c>
      <c r="E440" s="107">
        <v>2</v>
      </c>
      <c r="F440" s="108">
        <f t="shared" si="13"/>
        <v>15.6</v>
      </c>
      <c r="G440" s="55"/>
    </row>
    <row r="441" spans="1:7" ht="12.75">
      <c r="A441" s="485"/>
      <c r="B441" s="101" t="s">
        <v>222</v>
      </c>
      <c r="C441" s="106">
        <v>3.3</v>
      </c>
      <c r="D441" s="106">
        <v>3</v>
      </c>
      <c r="E441" s="107">
        <v>1</v>
      </c>
      <c r="F441" s="108">
        <f t="shared" si="13"/>
        <v>9.9</v>
      </c>
      <c r="G441" s="55"/>
    </row>
    <row r="442" spans="1:7" ht="12.75">
      <c r="A442" s="485"/>
      <c r="B442" s="101" t="s">
        <v>216</v>
      </c>
      <c r="C442" s="106">
        <v>3.3</v>
      </c>
      <c r="D442" s="106">
        <v>3</v>
      </c>
      <c r="E442" s="107">
        <v>1</v>
      </c>
      <c r="F442" s="108">
        <f t="shared" si="13"/>
        <v>9.9</v>
      </c>
      <c r="G442" s="55"/>
    </row>
    <row r="443" spans="1:7" ht="12.75">
      <c r="A443" s="485"/>
      <c r="B443" s="101" t="s">
        <v>203</v>
      </c>
      <c r="C443" s="106">
        <v>1.6</v>
      </c>
      <c r="D443" s="106">
        <v>3</v>
      </c>
      <c r="E443" s="107">
        <v>2</v>
      </c>
      <c r="F443" s="108">
        <f t="shared" si="13"/>
        <v>9.6</v>
      </c>
      <c r="G443" s="55"/>
    </row>
    <row r="444" spans="1:7" ht="15" customHeight="1">
      <c r="A444" s="485"/>
      <c r="B444" s="101" t="s">
        <v>260</v>
      </c>
      <c r="C444" s="106">
        <v>2.15</v>
      </c>
      <c r="D444" s="106">
        <v>3</v>
      </c>
      <c r="E444" s="107">
        <v>2</v>
      </c>
      <c r="F444" s="108">
        <f t="shared" si="13"/>
        <v>12.9</v>
      </c>
      <c r="G444" s="55"/>
    </row>
    <row r="445" spans="1:7" ht="15" customHeight="1">
      <c r="A445" s="485"/>
      <c r="B445" s="101" t="s">
        <v>274</v>
      </c>
      <c r="C445" s="106">
        <v>1</v>
      </c>
      <c r="D445" s="106">
        <v>3</v>
      </c>
      <c r="E445" s="107">
        <v>2</v>
      </c>
      <c r="F445" s="108">
        <f t="shared" si="13"/>
        <v>6</v>
      </c>
      <c r="G445" s="55"/>
    </row>
    <row r="446" spans="1:10" ht="15" customHeight="1">
      <c r="A446" s="485"/>
      <c r="B446" s="101" t="s">
        <v>252</v>
      </c>
      <c r="C446" s="106">
        <v>2.05</v>
      </c>
      <c r="D446" s="106">
        <v>3</v>
      </c>
      <c r="E446" s="107">
        <v>2</v>
      </c>
      <c r="F446" s="108">
        <f t="shared" si="13"/>
        <v>12.3</v>
      </c>
      <c r="G446" s="55"/>
      <c r="J446" s="199"/>
    </row>
    <row r="447" spans="1:7" ht="15" customHeight="1">
      <c r="A447" s="485"/>
      <c r="B447" s="101" t="s">
        <v>207</v>
      </c>
      <c r="C447" s="106">
        <v>0.8</v>
      </c>
      <c r="D447" s="106">
        <v>2.1</v>
      </c>
      <c r="E447" s="107">
        <v>2</v>
      </c>
      <c r="F447" s="108">
        <f t="shared" si="13"/>
        <v>3.36</v>
      </c>
      <c r="G447" s="55"/>
    </row>
    <row r="448" spans="1:7" ht="15" customHeight="1">
      <c r="A448" s="485"/>
      <c r="B448" s="101" t="s">
        <v>207</v>
      </c>
      <c r="C448" s="106">
        <v>1</v>
      </c>
      <c r="D448" s="106">
        <v>0.6</v>
      </c>
      <c r="E448" s="107">
        <v>2</v>
      </c>
      <c r="F448" s="108">
        <f t="shared" si="13"/>
        <v>1.2</v>
      </c>
      <c r="G448" s="55"/>
    </row>
    <row r="449" spans="1:7" ht="15.75" customHeight="1" thickBot="1">
      <c r="A449" s="485"/>
      <c r="B449" s="101" t="s">
        <v>278</v>
      </c>
      <c r="C449" s="106">
        <v>9.2</v>
      </c>
      <c r="D449" s="106">
        <v>1.38</v>
      </c>
      <c r="E449" s="107">
        <v>2</v>
      </c>
      <c r="F449" s="355">
        <f>((C449*D449)/2)*2</f>
        <v>12.7</v>
      </c>
      <c r="G449" s="55"/>
    </row>
    <row r="450" spans="1:7" ht="13.5" thickBot="1">
      <c r="A450" s="485"/>
      <c r="B450" s="50"/>
      <c r="C450" s="198"/>
      <c r="D450" s="34"/>
      <c r="E450" s="195" t="s">
        <v>2</v>
      </c>
      <c r="F450" s="205">
        <f>SUM(F438:F449)</f>
        <v>122.86</v>
      </c>
      <c r="G450" s="55"/>
    </row>
    <row r="451" spans="1:7" ht="15" customHeight="1" thickBot="1">
      <c r="A451" s="48"/>
      <c r="B451" s="34"/>
      <c r="C451" s="34"/>
      <c r="D451" s="34"/>
      <c r="E451" s="45"/>
      <c r="F451" s="34"/>
      <c r="G451" s="35"/>
    </row>
    <row r="452" spans="1:7" ht="52.5" customHeight="1" thickBot="1">
      <c r="A452" s="80" t="s">
        <v>104</v>
      </c>
      <c r="B452" s="548" t="str">
        <f>Planilha!C49</f>
        <v>MASSA ÚNICA, PARA RECEBIMENTO DE PINTURA, EM ARGAMASSA TRAÇO 1:2:8,EPARO MANUAL, APLICADA MANUALMENTE EM FACES INTERNAS DE PAREDES, ESPESSURA DE 20MM, COM EXECUÇÃO DE TALISCAS. AF_06/2014</v>
      </c>
      <c r="C452" s="549"/>
      <c r="D452" s="549"/>
      <c r="E452" s="550"/>
      <c r="F452" s="81">
        <f>F468</f>
        <v>89.45</v>
      </c>
      <c r="G452" s="80" t="s">
        <v>94</v>
      </c>
    </row>
    <row r="453" spans="1:7" ht="15" customHeight="1">
      <c r="A453" s="29"/>
      <c r="B453" s="34"/>
      <c r="C453" s="34"/>
      <c r="D453" s="34"/>
      <c r="E453" s="45"/>
      <c r="F453" s="34"/>
      <c r="G453" s="35"/>
    </row>
    <row r="454" spans="1:17" ht="15" customHeight="1">
      <c r="A454" s="486"/>
      <c r="B454" s="112" t="s">
        <v>20</v>
      </c>
      <c r="C454" s="112" t="s">
        <v>21</v>
      </c>
      <c r="D454" s="112" t="s">
        <v>22</v>
      </c>
      <c r="E454" s="112" t="s">
        <v>24</v>
      </c>
      <c r="F454" s="237" t="s">
        <v>23</v>
      </c>
      <c r="G454" s="55"/>
      <c r="Q454" s="199"/>
    </row>
    <row r="455" spans="1:7" ht="15" customHeight="1">
      <c r="A455" s="485"/>
      <c r="B455" s="101" t="s">
        <v>263</v>
      </c>
      <c r="C455" s="106">
        <v>2.9</v>
      </c>
      <c r="D455" s="106">
        <v>1.2</v>
      </c>
      <c r="E455" s="107">
        <v>1</v>
      </c>
      <c r="F455" s="108">
        <f aca="true" t="shared" si="14" ref="F455:F466">C455*D455*E455</f>
        <v>3.48</v>
      </c>
      <c r="G455" s="55"/>
    </row>
    <row r="456" spans="1:7" ht="15" customHeight="1">
      <c r="A456" s="485"/>
      <c r="B456" s="101" t="s">
        <v>339</v>
      </c>
      <c r="C456" s="106">
        <v>1.38</v>
      </c>
      <c r="D456" s="106">
        <v>1.2</v>
      </c>
      <c r="E456" s="107">
        <v>2</v>
      </c>
      <c r="F456" s="108">
        <f t="shared" si="14"/>
        <v>3.31</v>
      </c>
      <c r="G456" s="55"/>
    </row>
    <row r="457" spans="1:7" ht="12.75">
      <c r="A457" s="485"/>
      <c r="B457" s="101" t="s">
        <v>340</v>
      </c>
      <c r="C457" s="106">
        <v>2</v>
      </c>
      <c r="D457" s="106">
        <v>1.2</v>
      </c>
      <c r="E457" s="107">
        <v>2</v>
      </c>
      <c r="F457" s="108">
        <f t="shared" si="14"/>
        <v>4.8</v>
      </c>
      <c r="G457" s="55"/>
    </row>
    <row r="458" spans="1:7" ht="12.75">
      <c r="A458" s="485"/>
      <c r="B458" s="101" t="s">
        <v>206</v>
      </c>
      <c r="C458" s="106">
        <v>2.6</v>
      </c>
      <c r="D458" s="106">
        <v>3</v>
      </c>
      <c r="E458" s="107">
        <v>1</v>
      </c>
      <c r="F458" s="108">
        <f t="shared" si="14"/>
        <v>7.8</v>
      </c>
      <c r="G458" s="55"/>
    </row>
    <row r="459" spans="1:7" ht="12.75">
      <c r="A459" s="485"/>
      <c r="B459" s="101" t="s">
        <v>222</v>
      </c>
      <c r="C459" s="106">
        <v>3.3</v>
      </c>
      <c r="D459" s="106">
        <v>3</v>
      </c>
      <c r="E459" s="107">
        <v>1</v>
      </c>
      <c r="F459" s="108">
        <f t="shared" si="14"/>
        <v>9.9</v>
      </c>
      <c r="G459" s="55"/>
    </row>
    <row r="460" spans="1:7" ht="12.75">
      <c r="A460" s="485"/>
      <c r="B460" s="101" t="s">
        <v>216</v>
      </c>
      <c r="C460" s="106">
        <v>3.3</v>
      </c>
      <c r="D460" s="106">
        <v>3</v>
      </c>
      <c r="E460" s="107">
        <v>1</v>
      </c>
      <c r="F460" s="108">
        <f t="shared" si="14"/>
        <v>9.9</v>
      </c>
      <c r="G460" s="55"/>
    </row>
    <row r="461" spans="1:7" ht="15" customHeight="1">
      <c r="A461" s="485"/>
      <c r="B461" s="101" t="s">
        <v>203</v>
      </c>
      <c r="C461" s="106">
        <v>1.6</v>
      </c>
      <c r="D461" s="106">
        <v>1.2</v>
      </c>
      <c r="E461" s="107">
        <v>2</v>
      </c>
      <c r="F461" s="108">
        <f t="shared" si="14"/>
        <v>3.84</v>
      </c>
      <c r="G461" s="55"/>
    </row>
    <row r="462" spans="1:7" ht="15" customHeight="1">
      <c r="A462" s="485"/>
      <c r="B462" s="101" t="s">
        <v>260</v>
      </c>
      <c r="C462" s="106">
        <v>2.15</v>
      </c>
      <c r="D462" s="106">
        <v>1.2</v>
      </c>
      <c r="E462" s="107">
        <v>2</v>
      </c>
      <c r="F462" s="108">
        <f t="shared" si="14"/>
        <v>5.16</v>
      </c>
      <c r="G462" s="55"/>
    </row>
    <row r="463" spans="1:7" ht="15" customHeight="1">
      <c r="A463" s="485"/>
      <c r="B463" s="101" t="s">
        <v>252</v>
      </c>
      <c r="C463" s="106">
        <v>2.05</v>
      </c>
      <c r="D463" s="106">
        <v>3</v>
      </c>
      <c r="E463" s="107">
        <v>2</v>
      </c>
      <c r="F463" s="108">
        <f t="shared" si="14"/>
        <v>12.3</v>
      </c>
      <c r="G463" s="55"/>
    </row>
    <row r="464" spans="1:7" ht="15" customHeight="1">
      <c r="A464" s="485"/>
      <c r="B464" s="101" t="s">
        <v>274</v>
      </c>
      <c r="C464" s="106">
        <v>3.9</v>
      </c>
      <c r="D464" s="106">
        <v>3</v>
      </c>
      <c r="E464" s="107">
        <v>1</v>
      </c>
      <c r="F464" s="108">
        <f t="shared" si="14"/>
        <v>11.7</v>
      </c>
      <c r="G464" s="55"/>
    </row>
    <row r="465" spans="1:7" ht="15" customHeight="1">
      <c r="A465" s="485"/>
      <c r="B465" s="101" t="s">
        <v>207</v>
      </c>
      <c r="C465" s="106">
        <v>0.8</v>
      </c>
      <c r="D465" s="106">
        <v>2.1</v>
      </c>
      <c r="E465" s="107">
        <v>2</v>
      </c>
      <c r="F465" s="108">
        <f t="shared" si="14"/>
        <v>3.36</v>
      </c>
      <c r="G465" s="55"/>
    </row>
    <row r="466" spans="1:7" ht="15" customHeight="1">
      <c r="A466" s="485"/>
      <c r="B466" s="101" t="s">
        <v>207</v>
      </c>
      <c r="C466" s="106">
        <v>1</v>
      </c>
      <c r="D466" s="106">
        <v>0.6</v>
      </c>
      <c r="E466" s="107">
        <v>2</v>
      </c>
      <c r="F466" s="108">
        <f t="shared" si="14"/>
        <v>1.2</v>
      </c>
      <c r="G466" s="55"/>
    </row>
    <row r="467" spans="1:7" ht="15" customHeight="1" thickBot="1">
      <c r="A467" s="485"/>
      <c r="B467" s="101" t="s">
        <v>278</v>
      </c>
      <c r="C467" s="106">
        <v>9.2</v>
      </c>
      <c r="D467" s="106">
        <v>1.38</v>
      </c>
      <c r="E467" s="539">
        <v>2</v>
      </c>
      <c r="F467" s="355">
        <f>((C467*D467)/2)*2</f>
        <v>12.7</v>
      </c>
      <c r="G467" s="55"/>
    </row>
    <row r="468" spans="1:7" ht="15" customHeight="1" thickBot="1">
      <c r="A468" s="485"/>
      <c r="B468" s="34"/>
      <c r="C468" s="34"/>
      <c r="D468" s="34"/>
      <c r="E468" s="195" t="s">
        <v>2</v>
      </c>
      <c r="F468" s="205">
        <f>SUM(F455:F467)</f>
        <v>89.45</v>
      </c>
      <c r="G468" s="55"/>
    </row>
    <row r="469" spans="1:7" ht="15" customHeight="1" thickBot="1">
      <c r="A469" s="54"/>
      <c r="B469" s="52"/>
      <c r="C469" s="52"/>
      <c r="D469" s="52"/>
      <c r="E469" s="52"/>
      <c r="F469" s="52"/>
      <c r="G469" s="55"/>
    </row>
    <row r="470" spans="1:7" ht="39" customHeight="1" thickBot="1">
      <c r="A470" s="80" t="s">
        <v>497</v>
      </c>
      <c r="B470" s="548" t="str">
        <f>Planilha!C50</f>
        <v>EMBOÇO, PARA RECEBIMENTO DE CERÂMICA, EM ARGAMASSA TRAÇO 1:2:8, PREPARO MECÂNICO COM BETONEIRA 400L, APLICADO MANUALMENTE EM FACES INTERNAS DE PAREDES, PARA AMBIENTE COM ÁREA ENTRE 5M2 E 10M2, ESPESSURA DE 20MM, COM EXECUÇÃO DE TALISCAS. AF_06/2014</v>
      </c>
      <c r="C470" s="549"/>
      <c r="D470" s="549"/>
      <c r="E470" s="550"/>
      <c r="F470" s="81">
        <f>F477</f>
        <v>25.67</v>
      </c>
      <c r="G470" s="80" t="s">
        <v>19</v>
      </c>
    </row>
    <row r="471" spans="1:7" ht="15" customHeight="1">
      <c r="A471" s="33"/>
      <c r="B471" s="34"/>
      <c r="C471" s="34"/>
      <c r="D471" s="34"/>
      <c r="E471" s="45"/>
      <c r="F471" s="34"/>
      <c r="G471" s="35"/>
    </row>
    <row r="472" spans="1:7" ht="15" customHeight="1">
      <c r="A472" s="486"/>
      <c r="B472" s="112" t="s">
        <v>20</v>
      </c>
      <c r="C472" s="112" t="s">
        <v>21</v>
      </c>
      <c r="D472" s="112" t="s">
        <v>22</v>
      </c>
      <c r="E472" s="228" t="s">
        <v>24</v>
      </c>
      <c r="F472" s="112" t="s">
        <v>23</v>
      </c>
      <c r="G472" s="237"/>
    </row>
    <row r="473" spans="1:7" ht="15" customHeight="1">
      <c r="A473" s="485"/>
      <c r="B473" s="104" t="s">
        <v>264</v>
      </c>
      <c r="C473" s="106">
        <v>1.38</v>
      </c>
      <c r="D473" s="106">
        <v>1.8</v>
      </c>
      <c r="E473" s="263">
        <v>2</v>
      </c>
      <c r="F473" s="106">
        <f>(C473*D473)*E473</f>
        <v>4.97</v>
      </c>
      <c r="G473" s="108"/>
    </row>
    <row r="474" spans="1:7" ht="15" customHeight="1">
      <c r="A474" s="485"/>
      <c r="B474" s="104" t="s">
        <v>265</v>
      </c>
      <c r="C474" s="106">
        <v>2</v>
      </c>
      <c r="D474" s="106">
        <v>1.8</v>
      </c>
      <c r="E474" s="263">
        <v>2</v>
      </c>
      <c r="F474" s="106">
        <f>(C474*D474)*E474</f>
        <v>7.2</v>
      </c>
      <c r="G474" s="108"/>
    </row>
    <row r="475" spans="1:7" ht="16.5" customHeight="1">
      <c r="A475" s="485"/>
      <c r="B475" s="92" t="s">
        <v>266</v>
      </c>
      <c r="C475" s="92">
        <v>2.15</v>
      </c>
      <c r="D475" s="106">
        <v>1.8</v>
      </c>
      <c r="E475" s="264">
        <v>2</v>
      </c>
      <c r="F475" s="110">
        <f>(C475*D475)*E475</f>
        <v>7.74</v>
      </c>
      <c r="G475" s="108"/>
    </row>
    <row r="476" spans="1:7" ht="13.5" thickBot="1">
      <c r="A476" s="485"/>
      <c r="B476" s="92" t="s">
        <v>267</v>
      </c>
      <c r="C476" s="92">
        <v>1.6</v>
      </c>
      <c r="D476" s="106">
        <v>1.8</v>
      </c>
      <c r="E476" s="264">
        <v>2</v>
      </c>
      <c r="F476" s="110">
        <f>(C476*D476)*E476</f>
        <v>5.76</v>
      </c>
      <c r="G476" s="108"/>
    </row>
    <row r="477" spans="1:7" ht="13.5" thickBot="1">
      <c r="A477" s="485"/>
      <c r="B477" s="45"/>
      <c r="C477" s="45"/>
      <c r="D477" s="52"/>
      <c r="E477" s="78" t="s">
        <v>62</v>
      </c>
      <c r="F477" s="205">
        <f>SUM(F473:F476)</f>
        <v>25.67</v>
      </c>
      <c r="G477" s="108"/>
    </row>
    <row r="478" spans="1:7" ht="13.5" thickBot="1">
      <c r="A478" s="485"/>
      <c r="B478" s="34"/>
      <c r="C478" s="34"/>
      <c r="D478" s="34"/>
      <c r="E478" s="45"/>
      <c r="F478" s="489"/>
      <c r="G478" s="267"/>
    </row>
    <row r="479" spans="1:7" ht="13.5" thickBot="1">
      <c r="A479" s="33"/>
      <c r="B479" s="489"/>
      <c r="C479" s="37"/>
      <c r="D479" s="34"/>
      <c r="E479" s="45"/>
      <c r="F479" s="34"/>
      <c r="G479" s="61"/>
    </row>
    <row r="480" spans="1:17" s="199" customFormat="1" ht="13.5" thickBot="1">
      <c r="A480" s="79">
        <v>8</v>
      </c>
      <c r="B480" s="557" t="s">
        <v>57</v>
      </c>
      <c r="C480" s="558"/>
      <c r="D480" s="558"/>
      <c r="E480" s="558"/>
      <c r="F480" s="558"/>
      <c r="G480" s="559"/>
      <c r="J480"/>
      <c r="K480"/>
      <c r="L480"/>
      <c r="M480"/>
      <c r="N480"/>
      <c r="O480"/>
      <c r="P480"/>
      <c r="Q480"/>
    </row>
    <row r="481" spans="1:7" ht="12.75">
      <c r="A481" s="33"/>
      <c r="B481" s="563"/>
      <c r="C481" s="563"/>
      <c r="D481" s="563"/>
      <c r="E481" s="563"/>
      <c r="F481" s="563"/>
      <c r="G481" s="564"/>
    </row>
    <row r="482" spans="1:7" ht="13.5" thickBot="1">
      <c r="A482" s="33"/>
      <c r="B482" s="489"/>
      <c r="C482" s="489"/>
      <c r="D482" s="489"/>
      <c r="E482" s="489"/>
      <c r="F482" s="489"/>
      <c r="G482" s="490"/>
    </row>
    <row r="483" spans="1:7" ht="28.5" customHeight="1" thickBot="1">
      <c r="A483" s="80" t="s">
        <v>28</v>
      </c>
      <c r="B483" s="548" t="str">
        <f>Planilha!C52</f>
        <v>REVESTIMENTO CERÂMICO PARA PISO COM PLACAS TIPO ESMALTADA EXTRA DE DIMENSÕES 45X45 CM APLICADA EM AMBIENTES DE ÁREA MENOR QUE 5 M2. AF_06/20</v>
      </c>
      <c r="C483" s="549"/>
      <c r="D483" s="549"/>
      <c r="E483" s="550"/>
      <c r="F483" s="81">
        <f>E495</f>
        <v>29.88</v>
      </c>
      <c r="G483" s="80" t="s">
        <v>19</v>
      </c>
    </row>
    <row r="484" spans="1:7" ht="12.75">
      <c r="A484" s="33"/>
      <c r="B484" s="34"/>
      <c r="C484" s="34"/>
      <c r="D484" s="34"/>
      <c r="E484" s="45"/>
      <c r="F484" s="34"/>
      <c r="G484" s="35"/>
    </row>
    <row r="485" spans="1:7" ht="12.75">
      <c r="A485" s="485"/>
      <c r="B485" s="112" t="s">
        <v>20</v>
      </c>
      <c r="C485" s="112" t="s">
        <v>250</v>
      </c>
      <c r="D485" s="112" t="s">
        <v>275</v>
      </c>
      <c r="E485" s="112" t="s">
        <v>228</v>
      </c>
      <c r="F485" s="50"/>
      <c r="G485" s="35"/>
    </row>
    <row r="486" spans="1:7" ht="12.75">
      <c r="A486" s="485"/>
      <c r="B486" s="104" t="s">
        <v>271</v>
      </c>
      <c r="C486" s="106">
        <v>1.38</v>
      </c>
      <c r="D486" s="106">
        <v>2</v>
      </c>
      <c r="E486" s="106">
        <f aca="true" t="shared" si="15" ref="E486:E494">C486*D486</f>
        <v>2.76</v>
      </c>
      <c r="F486" s="41"/>
      <c r="G486" s="35"/>
    </row>
    <row r="487" spans="1:7" ht="12.75">
      <c r="A487" s="485"/>
      <c r="B487" s="104" t="s">
        <v>272</v>
      </c>
      <c r="C487" s="106">
        <v>1.38</v>
      </c>
      <c r="D487" s="106">
        <v>2</v>
      </c>
      <c r="E487" s="106">
        <f t="shared" si="15"/>
        <v>2.76</v>
      </c>
      <c r="F487" s="41"/>
      <c r="G487" s="35"/>
    </row>
    <row r="488" spans="1:7" ht="12.75">
      <c r="A488" s="33"/>
      <c r="B488" s="92" t="s">
        <v>203</v>
      </c>
      <c r="C488" s="92">
        <v>2.15</v>
      </c>
      <c r="D488" s="92">
        <v>1.6</v>
      </c>
      <c r="E488" s="106">
        <f t="shared" si="15"/>
        <v>3.44</v>
      </c>
      <c r="F488" s="37"/>
      <c r="G488" s="35"/>
    </row>
    <row r="489" spans="1:7" ht="12.75">
      <c r="A489" s="33"/>
      <c r="B489" s="92" t="s">
        <v>257</v>
      </c>
      <c r="C489" s="92">
        <v>3.05</v>
      </c>
      <c r="D489" s="92">
        <v>1.6</v>
      </c>
      <c r="E489" s="106">
        <f t="shared" si="15"/>
        <v>4.88</v>
      </c>
      <c r="F489" s="37"/>
      <c r="G489" s="35"/>
    </row>
    <row r="490" spans="1:7" ht="12.75">
      <c r="A490" s="33"/>
      <c r="B490" s="92" t="s">
        <v>217</v>
      </c>
      <c r="C490" s="92">
        <v>1.2</v>
      </c>
      <c r="D490" s="92">
        <v>1.2</v>
      </c>
      <c r="E490" s="106">
        <f t="shared" si="15"/>
        <v>1.44</v>
      </c>
      <c r="F490" s="37"/>
      <c r="G490" s="35"/>
    </row>
    <row r="491" spans="1:7" ht="12.75">
      <c r="A491" s="33"/>
      <c r="B491" s="86" t="s">
        <v>252</v>
      </c>
      <c r="C491" s="86">
        <v>2.05</v>
      </c>
      <c r="D491" s="86">
        <v>1.7</v>
      </c>
      <c r="E491" s="106">
        <f t="shared" si="15"/>
        <v>3.49</v>
      </c>
      <c r="F491" s="37"/>
      <c r="G491" s="35"/>
    </row>
    <row r="492" spans="1:7" ht="12.75">
      <c r="A492" s="33"/>
      <c r="B492" s="92" t="s">
        <v>268</v>
      </c>
      <c r="C492" s="92">
        <v>2.05</v>
      </c>
      <c r="D492" s="92">
        <v>2.3</v>
      </c>
      <c r="E492" s="106">
        <f t="shared" si="15"/>
        <v>4.72</v>
      </c>
      <c r="F492" s="37"/>
      <c r="G492" s="35"/>
    </row>
    <row r="493" spans="1:7" ht="12.75">
      <c r="A493" s="33"/>
      <c r="B493" s="92" t="s">
        <v>273</v>
      </c>
      <c r="C493" s="92">
        <v>2.9</v>
      </c>
      <c r="D493" s="92">
        <v>1.25</v>
      </c>
      <c r="E493" s="106">
        <f t="shared" si="15"/>
        <v>3.63</v>
      </c>
      <c r="F493" s="37"/>
      <c r="G493" s="35"/>
    </row>
    <row r="494" spans="1:7" ht="12.75">
      <c r="A494" s="33"/>
      <c r="B494" s="92" t="s">
        <v>233</v>
      </c>
      <c r="C494" s="92">
        <v>2.3</v>
      </c>
      <c r="D494" s="92">
        <v>1.2</v>
      </c>
      <c r="E494" s="106">
        <f t="shared" si="15"/>
        <v>2.76</v>
      </c>
      <c r="F494" s="37"/>
      <c r="G494" s="35"/>
    </row>
    <row r="495" spans="1:7" ht="13.5" thickBot="1">
      <c r="A495" s="33"/>
      <c r="B495" s="70"/>
      <c r="C495" s="45"/>
      <c r="D495" s="353" t="s">
        <v>2</v>
      </c>
      <c r="E495" s="358">
        <f>SUM(E486:E494)</f>
        <v>29.88</v>
      </c>
      <c r="F495" s="34"/>
      <c r="G495" s="35"/>
    </row>
    <row r="496" spans="1:7" ht="12.75">
      <c r="A496" s="33"/>
      <c r="B496" s="70"/>
      <c r="C496" s="45"/>
      <c r="D496" s="282"/>
      <c r="E496" s="37"/>
      <c r="F496" s="34"/>
      <c r="G496" s="35"/>
    </row>
    <row r="497" spans="1:7" ht="13.5" thickBot="1">
      <c r="A497" s="33"/>
      <c r="B497" s="70"/>
      <c r="C497" s="45"/>
      <c r="D497" s="282"/>
      <c r="E497" s="37"/>
      <c r="F497" s="34"/>
      <c r="G497" s="35"/>
    </row>
    <row r="498" spans="1:7" ht="13.5" thickBot="1">
      <c r="A498" s="80" t="s">
        <v>295</v>
      </c>
      <c r="B498" s="548" t="str">
        <f>Planilha!C53</f>
        <v>REVESTIMENTO CERÂMICO PARA PISO COM PLACAS TIPO ESMALTADA EXTRA DE ENSÕES 45X45 CM APLICADA EM AMBIENTES DE ÁREA ENTRE 5 M2 E 10 M2. AF_06/2014</v>
      </c>
      <c r="C498" s="549"/>
      <c r="D498" s="549"/>
      <c r="E498" s="550"/>
      <c r="F498" s="81">
        <f>E510</f>
        <v>65.22</v>
      </c>
      <c r="G498" s="80" t="s">
        <v>19</v>
      </c>
    </row>
    <row r="499" spans="1:7" ht="12.75">
      <c r="A499" s="33"/>
      <c r="B499" s="70"/>
      <c r="C499" s="45"/>
      <c r="D499" s="282"/>
      <c r="E499" s="37"/>
      <c r="F499" s="34"/>
      <c r="G499" s="35"/>
    </row>
    <row r="500" spans="1:7" ht="12.75">
      <c r="A500" s="33"/>
      <c r="B500" s="112" t="s">
        <v>20</v>
      </c>
      <c r="C500" s="112" t="s">
        <v>250</v>
      </c>
      <c r="D500" s="112" t="s">
        <v>275</v>
      </c>
      <c r="E500" s="112" t="s">
        <v>228</v>
      </c>
      <c r="F500" s="34"/>
      <c r="G500" s="35"/>
    </row>
    <row r="501" spans="1:7" ht="12.75">
      <c r="A501" s="33"/>
      <c r="B501" s="104" t="s">
        <v>208</v>
      </c>
      <c r="C501" s="106">
        <v>2.45</v>
      </c>
      <c r="D501" s="106">
        <v>3.25</v>
      </c>
      <c r="E501" s="106">
        <f aca="true" t="shared" si="16" ref="E501:E509">C501*D501</f>
        <v>7.96</v>
      </c>
      <c r="F501" s="34"/>
      <c r="G501" s="35"/>
    </row>
    <row r="502" spans="1:7" ht="12.75" hidden="1">
      <c r="A502" s="33"/>
      <c r="B502" s="104" t="s">
        <v>211</v>
      </c>
      <c r="C502" s="106">
        <v>1.75</v>
      </c>
      <c r="D502" s="106">
        <v>3.25</v>
      </c>
      <c r="E502" s="106">
        <f t="shared" si="16"/>
        <v>5.69</v>
      </c>
      <c r="F502" s="34"/>
      <c r="G502" s="35"/>
    </row>
    <row r="503" spans="1:7" ht="12.75">
      <c r="A503" s="33"/>
      <c r="B503" s="92" t="s">
        <v>417</v>
      </c>
      <c r="C503" s="106">
        <v>1.8</v>
      </c>
      <c r="D503" s="106">
        <v>3.25</v>
      </c>
      <c r="E503" s="106">
        <f t="shared" si="16"/>
        <v>5.85</v>
      </c>
      <c r="F503" s="34"/>
      <c r="G503" s="35"/>
    </row>
    <row r="504" spans="1:7" ht="12.75">
      <c r="A504" s="33"/>
      <c r="B504" s="104" t="s">
        <v>221</v>
      </c>
      <c r="C504" s="106">
        <v>3.05</v>
      </c>
      <c r="D504" s="106">
        <v>3.25</v>
      </c>
      <c r="E504" s="106">
        <f>C504*D504</f>
        <v>9.91</v>
      </c>
      <c r="F504" s="34"/>
      <c r="G504" s="35"/>
    </row>
    <row r="505" spans="1:7" ht="12.75">
      <c r="A505" s="33"/>
      <c r="B505" s="92" t="s">
        <v>413</v>
      </c>
      <c r="C505" s="92">
        <v>3.3</v>
      </c>
      <c r="D505" s="92">
        <v>1.35</v>
      </c>
      <c r="E505" s="106">
        <f t="shared" si="16"/>
        <v>4.46</v>
      </c>
      <c r="F505" s="34"/>
      <c r="G505" s="35"/>
    </row>
    <row r="506" spans="1:7" ht="12.75">
      <c r="A506" s="33"/>
      <c r="B506" s="92" t="s">
        <v>214</v>
      </c>
      <c r="C506" s="92">
        <v>3.3</v>
      </c>
      <c r="D506" s="92">
        <v>2.6</v>
      </c>
      <c r="E506" s="106">
        <f>C506*D506</f>
        <v>8.58</v>
      </c>
      <c r="F506" s="34"/>
      <c r="G506" s="35"/>
    </row>
    <row r="507" spans="1:7" ht="12.75">
      <c r="A507" s="33"/>
      <c r="B507" s="92" t="s">
        <v>201</v>
      </c>
      <c r="C507" s="92">
        <v>3.05</v>
      </c>
      <c r="D507" s="92">
        <v>2.4</v>
      </c>
      <c r="E507" s="106">
        <f t="shared" si="16"/>
        <v>7.32</v>
      </c>
      <c r="F507" s="34"/>
      <c r="G507" s="35"/>
    </row>
    <row r="508" spans="1:7" ht="12.75">
      <c r="A508" s="33"/>
      <c r="B508" s="92" t="s">
        <v>274</v>
      </c>
      <c r="C508" s="92">
        <v>3.9</v>
      </c>
      <c r="D508" s="92">
        <v>1.6</v>
      </c>
      <c r="E508" s="106">
        <f t="shared" si="16"/>
        <v>6.24</v>
      </c>
      <c r="F508" s="34"/>
      <c r="G508" s="35"/>
    </row>
    <row r="509" spans="1:7" ht="13.5" thickBot="1">
      <c r="A509" s="33"/>
      <c r="B509" s="92" t="s">
        <v>256</v>
      </c>
      <c r="C509" s="92">
        <v>3.35</v>
      </c>
      <c r="D509" s="86">
        <v>2.75</v>
      </c>
      <c r="E509" s="106">
        <f t="shared" si="16"/>
        <v>9.21</v>
      </c>
      <c r="F509" s="34"/>
      <c r="G509" s="35"/>
    </row>
    <row r="510" spans="1:7" ht="13.5" thickBot="1">
      <c r="A510" s="33"/>
      <c r="B510" s="70"/>
      <c r="C510" s="45"/>
      <c r="D510" s="195" t="s">
        <v>2</v>
      </c>
      <c r="E510" s="205">
        <f>SUM(E501:E509)</f>
        <v>65.22</v>
      </c>
      <c r="F510" s="34"/>
      <c r="G510" s="35"/>
    </row>
    <row r="511" spans="1:7" ht="13.5" thickBot="1">
      <c r="A511" s="33"/>
      <c r="B511" s="70"/>
      <c r="C511" s="45"/>
      <c r="D511" s="282"/>
      <c r="E511" s="37"/>
      <c r="F511" s="34"/>
      <c r="G511" s="35"/>
    </row>
    <row r="512" spans="1:7" ht="13.5" thickBot="1">
      <c r="A512" s="80" t="s">
        <v>295</v>
      </c>
      <c r="B512" s="548" t="str">
        <f>Planilha!C54</f>
        <v>REVESTIMENTO CERÂMICO PARA PISO COM PLACAS TIPO ESMALTADA EXTRA DE DIMENSÕES 45X45 CM APLICADA EM AMBIENTES DE ÁREA MAIOR QUE 10 M2. AF_06/2014</v>
      </c>
      <c r="C512" s="549"/>
      <c r="D512" s="549"/>
      <c r="E512" s="550"/>
      <c r="F512" s="81">
        <f>E523</f>
        <v>171.33</v>
      </c>
      <c r="G512" s="80" t="s">
        <v>19</v>
      </c>
    </row>
    <row r="513" spans="1:8" ht="13.5" customHeight="1">
      <c r="A513" s="33"/>
      <c r="B513" s="70"/>
      <c r="C513" s="45"/>
      <c r="D513" s="282"/>
      <c r="E513" s="37"/>
      <c r="F513" s="34"/>
      <c r="G513" s="35"/>
      <c r="H513">
        <f>E495*10%</f>
        <v>2.988</v>
      </c>
    </row>
    <row r="514" spans="1:7" ht="13.5" customHeight="1">
      <c r="A514" s="33"/>
      <c r="B514" s="112" t="s">
        <v>20</v>
      </c>
      <c r="C514" s="112" t="s">
        <v>250</v>
      </c>
      <c r="D514" s="112" t="s">
        <v>275</v>
      </c>
      <c r="E514" s="112" t="s">
        <v>228</v>
      </c>
      <c r="F514" s="34"/>
      <c r="G514" s="35"/>
    </row>
    <row r="515" spans="1:7" ht="12.75">
      <c r="A515" s="33"/>
      <c r="B515" s="92" t="s">
        <v>206</v>
      </c>
      <c r="C515" s="92">
        <v>2.6</v>
      </c>
      <c r="D515" s="92">
        <v>4.4</v>
      </c>
      <c r="E515" s="106">
        <f aca="true" t="shared" si="17" ref="E515:E522">C515*D515</f>
        <v>11.44</v>
      </c>
      <c r="F515" s="34"/>
      <c r="G515" s="35"/>
    </row>
    <row r="516" spans="1:7" ht="13.5" customHeight="1">
      <c r="A516" s="33"/>
      <c r="B516" s="92" t="s">
        <v>216</v>
      </c>
      <c r="C516" s="92">
        <v>3.3</v>
      </c>
      <c r="D516" s="92">
        <v>3.1</v>
      </c>
      <c r="E516" s="106">
        <f t="shared" si="17"/>
        <v>10.23</v>
      </c>
      <c r="F516" s="34"/>
      <c r="G516" s="35"/>
    </row>
    <row r="517" spans="1:7" ht="13.5" customHeight="1">
      <c r="A517" s="33"/>
      <c r="B517" s="92" t="s">
        <v>207</v>
      </c>
      <c r="C517" s="92">
        <v>5.95</v>
      </c>
      <c r="D517" s="92">
        <v>2.6</v>
      </c>
      <c r="E517" s="106">
        <f t="shared" si="17"/>
        <v>15.47</v>
      </c>
      <c r="F517" s="34"/>
      <c r="G517" s="35"/>
    </row>
    <row r="518" spans="1:7" ht="12.75">
      <c r="A518" s="33"/>
      <c r="B518" s="92" t="s">
        <v>205</v>
      </c>
      <c r="C518" s="92">
        <v>3.6</v>
      </c>
      <c r="D518" s="92">
        <v>4.15</v>
      </c>
      <c r="E518" s="106">
        <f t="shared" si="17"/>
        <v>14.94</v>
      </c>
      <c r="F518" s="34"/>
      <c r="G518" s="35"/>
    </row>
    <row r="519" spans="1:7" ht="13.5" customHeight="1">
      <c r="A519" s="33"/>
      <c r="B519" s="92" t="s">
        <v>218</v>
      </c>
      <c r="C519" s="92">
        <v>9.15</v>
      </c>
      <c r="D519" s="92">
        <v>1.2</v>
      </c>
      <c r="E519" s="106">
        <f t="shared" si="17"/>
        <v>10.98</v>
      </c>
      <c r="F519" s="34"/>
      <c r="G519" s="35"/>
    </row>
    <row r="520" spans="1:7" ht="13.5" customHeight="1">
      <c r="A520" s="33"/>
      <c r="B520" s="92" t="s">
        <v>219</v>
      </c>
      <c r="C520" s="92">
        <v>6.7</v>
      </c>
      <c r="D520" s="92">
        <v>2.75</v>
      </c>
      <c r="E520" s="106">
        <f t="shared" si="17"/>
        <v>18.43</v>
      </c>
      <c r="F520" s="34"/>
      <c r="G520" s="35"/>
    </row>
    <row r="521" spans="1:7" ht="13.5" customHeight="1">
      <c r="A521" s="33"/>
      <c r="B521" s="92" t="s">
        <v>290</v>
      </c>
      <c r="C521" s="92">
        <v>5.5</v>
      </c>
      <c r="D521" s="86">
        <v>8.9</v>
      </c>
      <c r="E521" s="106">
        <f t="shared" si="17"/>
        <v>48.95</v>
      </c>
      <c r="F521" s="34"/>
      <c r="G521" s="35"/>
    </row>
    <row r="522" spans="1:7" ht="13.5" customHeight="1" thickBot="1">
      <c r="A522" s="33"/>
      <c r="B522" s="92" t="s">
        <v>232</v>
      </c>
      <c r="C522" s="92">
        <v>24.05</v>
      </c>
      <c r="D522" s="92">
        <v>1.7</v>
      </c>
      <c r="E522" s="230">
        <f t="shared" si="17"/>
        <v>40.89</v>
      </c>
      <c r="F522" s="34"/>
      <c r="G522" s="35"/>
    </row>
    <row r="523" spans="1:7" ht="13.5" customHeight="1" thickBot="1">
      <c r="A523" s="33"/>
      <c r="B523" s="70"/>
      <c r="C523" s="45"/>
      <c r="D523" s="195" t="s">
        <v>2</v>
      </c>
      <c r="E523" s="205">
        <f>SUM(E515:E522)</f>
        <v>171.33</v>
      </c>
      <c r="F523" s="34"/>
      <c r="G523" s="35"/>
    </row>
    <row r="524" spans="1:7" ht="13.5" customHeight="1" thickBot="1">
      <c r="A524" s="33"/>
      <c r="B524" s="70"/>
      <c r="C524" s="45"/>
      <c r="D524" s="283"/>
      <c r="E524" s="277"/>
      <c r="F524" s="34"/>
      <c r="G524" s="35"/>
    </row>
    <row r="525" spans="1:7" ht="13.5" customHeight="1" thickBot="1">
      <c r="A525" s="80" t="s">
        <v>296</v>
      </c>
      <c r="B525" s="548" t="str">
        <f>Planilha!C55</f>
        <v>RODAPÉ CERÂMICO DE 7CM DE ALTURA COM PLACAS TIPO ESMALTADA EXTRA DE DIMENSÕES 45X45CM. AF_06/2014</v>
      </c>
      <c r="C525" s="549"/>
      <c r="D525" s="549"/>
      <c r="E525" s="550"/>
      <c r="F525" s="81">
        <f>E549</f>
        <v>224.05</v>
      </c>
      <c r="G525" s="80" t="s">
        <v>19</v>
      </c>
    </row>
    <row r="526" spans="1:7" ht="13.5" customHeight="1">
      <c r="A526" s="33"/>
      <c r="B526" s="70"/>
      <c r="C526" s="45"/>
      <c r="D526" s="282"/>
      <c r="E526" s="37"/>
      <c r="F526" s="34"/>
      <c r="G526" s="35"/>
    </row>
    <row r="527" spans="1:7" ht="13.5" customHeight="1">
      <c r="A527" s="40"/>
      <c r="B527" s="42"/>
      <c r="C527" s="42"/>
      <c r="D527" s="42"/>
      <c r="E527" s="42"/>
      <c r="F527" s="43"/>
      <c r="G527" s="44"/>
    </row>
    <row r="528" spans="1:7" ht="13.5" customHeight="1">
      <c r="A528" s="485"/>
      <c r="B528" s="112" t="s">
        <v>20</v>
      </c>
      <c r="C528" s="112" t="s">
        <v>21</v>
      </c>
      <c r="D528" s="112" t="s">
        <v>392</v>
      </c>
      <c r="E528" s="112" t="s">
        <v>276</v>
      </c>
      <c r="F528" s="52"/>
      <c r="G528" s="55"/>
    </row>
    <row r="529" spans="1:7" ht="13.5" customHeight="1">
      <c r="A529" s="485"/>
      <c r="B529" s="104" t="s">
        <v>211</v>
      </c>
      <c r="C529" s="106">
        <v>1.75</v>
      </c>
      <c r="D529" s="106">
        <v>3.25</v>
      </c>
      <c r="E529" s="106">
        <f aca="true" t="shared" si="18" ref="E529:E541">(C529+D529)*2</f>
        <v>10</v>
      </c>
      <c r="F529" s="284"/>
      <c r="G529" s="265"/>
    </row>
    <row r="530" spans="1:7" ht="13.5" customHeight="1">
      <c r="A530" s="485"/>
      <c r="B530" s="92" t="s">
        <v>417</v>
      </c>
      <c r="C530" s="106">
        <v>1.8</v>
      </c>
      <c r="D530" s="106">
        <v>3.25</v>
      </c>
      <c r="E530" s="106">
        <f t="shared" si="18"/>
        <v>10.1</v>
      </c>
      <c r="F530" s="284"/>
      <c r="G530" s="265"/>
    </row>
    <row r="531" spans="1:7" ht="12.75">
      <c r="A531" s="33"/>
      <c r="B531" s="104" t="s">
        <v>221</v>
      </c>
      <c r="C531" s="106">
        <v>3.05</v>
      </c>
      <c r="D531" s="106">
        <v>3.25</v>
      </c>
      <c r="E531" s="106">
        <f t="shared" si="18"/>
        <v>12.6</v>
      </c>
      <c r="F531" s="284"/>
      <c r="G531" s="265"/>
    </row>
    <row r="532" spans="1:7" ht="13.5" customHeight="1">
      <c r="A532" s="485"/>
      <c r="B532" s="92" t="s">
        <v>206</v>
      </c>
      <c r="C532" s="92">
        <v>2.6</v>
      </c>
      <c r="D532" s="92">
        <v>4.4</v>
      </c>
      <c r="E532" s="106">
        <f t="shared" si="18"/>
        <v>14</v>
      </c>
      <c r="F532" s="284"/>
      <c r="G532" s="265"/>
    </row>
    <row r="533" spans="1:7" ht="13.5" customHeight="1">
      <c r="A533" s="485"/>
      <c r="B533" s="92" t="s">
        <v>216</v>
      </c>
      <c r="C533" s="92">
        <v>3.3</v>
      </c>
      <c r="D533" s="92">
        <v>3.1</v>
      </c>
      <c r="E533" s="106">
        <f t="shared" si="18"/>
        <v>12.8</v>
      </c>
      <c r="F533" s="284"/>
      <c r="G533" s="265"/>
    </row>
    <row r="534" spans="1:7" ht="13.5" customHeight="1">
      <c r="A534" s="485"/>
      <c r="B534" s="92" t="s">
        <v>214</v>
      </c>
      <c r="C534" s="92">
        <v>3.3</v>
      </c>
      <c r="D534" s="92">
        <v>2.6</v>
      </c>
      <c r="E534" s="106">
        <f t="shared" si="18"/>
        <v>11.8</v>
      </c>
      <c r="F534" s="284"/>
      <c r="G534" s="265"/>
    </row>
    <row r="535" spans="1:11" ht="13.5" customHeight="1">
      <c r="A535" s="485"/>
      <c r="B535" s="92" t="s">
        <v>207</v>
      </c>
      <c r="C535" s="92">
        <v>5.95</v>
      </c>
      <c r="D535" s="92">
        <v>2.6</v>
      </c>
      <c r="E535" s="106">
        <f t="shared" si="18"/>
        <v>17.1</v>
      </c>
      <c r="F535" s="284"/>
      <c r="G535" s="265"/>
      <c r="K535" t="e">
        <f>#REF!*8</f>
        <v>#REF!</v>
      </c>
    </row>
    <row r="536" spans="1:7" ht="13.5" customHeight="1">
      <c r="A536" s="485"/>
      <c r="B536" s="92" t="s">
        <v>257</v>
      </c>
      <c r="C536" s="92">
        <v>3.05</v>
      </c>
      <c r="D536" s="92">
        <v>1.6</v>
      </c>
      <c r="E536" s="106">
        <f t="shared" si="18"/>
        <v>9.3</v>
      </c>
      <c r="F536" s="284"/>
      <c r="G536" s="265"/>
    </row>
    <row r="537" spans="1:7" ht="13.5" customHeight="1">
      <c r="A537" s="485"/>
      <c r="B537" s="92" t="s">
        <v>201</v>
      </c>
      <c r="C537" s="92">
        <v>3.05</v>
      </c>
      <c r="D537" s="92">
        <v>2.4</v>
      </c>
      <c r="E537" s="106">
        <f t="shared" si="18"/>
        <v>10.9</v>
      </c>
      <c r="F537" s="284"/>
      <c r="G537" s="265"/>
    </row>
    <row r="538" spans="1:7" ht="13.5" customHeight="1">
      <c r="A538" s="485"/>
      <c r="B538" s="92" t="s">
        <v>205</v>
      </c>
      <c r="C538" s="92">
        <v>3.6</v>
      </c>
      <c r="D538" s="92">
        <v>4.15</v>
      </c>
      <c r="E538" s="106">
        <f t="shared" si="18"/>
        <v>15.5</v>
      </c>
      <c r="F538" s="284"/>
      <c r="G538" s="265"/>
    </row>
    <row r="539" spans="1:7" ht="13.5" customHeight="1">
      <c r="A539" s="485"/>
      <c r="B539" s="92" t="s">
        <v>217</v>
      </c>
      <c r="C539" s="92">
        <v>1.2</v>
      </c>
      <c r="D539" s="92">
        <v>1.2</v>
      </c>
      <c r="E539" s="106">
        <f t="shared" si="18"/>
        <v>4.8</v>
      </c>
      <c r="F539" s="284"/>
      <c r="G539" s="265"/>
    </row>
    <row r="540" spans="1:7" ht="13.5" customHeight="1">
      <c r="A540" s="485"/>
      <c r="B540" s="86" t="s">
        <v>252</v>
      </c>
      <c r="C540" s="86">
        <v>2.05</v>
      </c>
      <c r="D540" s="86">
        <v>1.7</v>
      </c>
      <c r="E540" s="106">
        <f t="shared" si="18"/>
        <v>7.5</v>
      </c>
      <c r="F540" s="284"/>
      <c r="G540" s="265"/>
    </row>
    <row r="541" spans="1:7" ht="13.5" customHeight="1">
      <c r="A541" s="485"/>
      <c r="B541" s="92" t="s">
        <v>268</v>
      </c>
      <c r="C541" s="92">
        <v>2.05</v>
      </c>
      <c r="D541" s="92">
        <v>2.3</v>
      </c>
      <c r="E541" s="106">
        <f t="shared" si="18"/>
        <v>8.7</v>
      </c>
      <c r="F541" s="284"/>
      <c r="G541" s="265"/>
    </row>
    <row r="542" spans="1:7" ht="12.75">
      <c r="A542" s="485"/>
      <c r="B542" s="92" t="s">
        <v>218</v>
      </c>
      <c r="C542" s="92">
        <v>9.15</v>
      </c>
      <c r="D542" s="92">
        <v>1.2</v>
      </c>
      <c r="E542" s="106">
        <f>(C542*2)+D542</f>
        <v>19.5</v>
      </c>
      <c r="F542" s="284"/>
      <c r="G542" s="265"/>
    </row>
    <row r="543" spans="1:7" ht="13.5" customHeight="1">
      <c r="A543" s="485"/>
      <c r="B543" s="92" t="s">
        <v>219</v>
      </c>
      <c r="C543" s="92">
        <v>3.35</v>
      </c>
      <c r="D543" s="92">
        <v>2.75</v>
      </c>
      <c r="E543" s="106">
        <f>(C543*2)+D543</f>
        <v>9.45</v>
      </c>
      <c r="F543" s="284"/>
      <c r="G543" s="265"/>
    </row>
    <row r="544" spans="1:7" ht="12.75">
      <c r="A544" s="485"/>
      <c r="B544" s="92" t="s">
        <v>273</v>
      </c>
      <c r="C544" s="92">
        <v>2.9</v>
      </c>
      <c r="D544" s="92">
        <v>1.25</v>
      </c>
      <c r="E544" s="106">
        <f>C544+(D544*2)</f>
        <v>5.4</v>
      </c>
      <c r="F544" s="284"/>
      <c r="G544" s="265"/>
    </row>
    <row r="545" spans="1:7" ht="12.75">
      <c r="A545" s="485"/>
      <c r="B545" s="92" t="s">
        <v>274</v>
      </c>
      <c r="C545" s="92">
        <v>3.9</v>
      </c>
      <c r="D545" s="92">
        <v>1.6</v>
      </c>
      <c r="E545" s="106">
        <f>(C545*2)+D545</f>
        <v>9.4</v>
      </c>
      <c r="F545" s="284"/>
      <c r="G545" s="265"/>
    </row>
    <row r="546" spans="1:7" ht="12.75">
      <c r="A546" s="485"/>
      <c r="B546" s="92" t="s">
        <v>256</v>
      </c>
      <c r="C546" s="92">
        <v>3.35</v>
      </c>
      <c r="D546" s="86">
        <v>2.75</v>
      </c>
      <c r="E546" s="106">
        <f>C546+(D546*2)</f>
        <v>8.85</v>
      </c>
      <c r="F546" s="284"/>
      <c r="G546" s="265"/>
    </row>
    <row r="547" spans="1:7" ht="12.75">
      <c r="A547" s="485"/>
      <c r="B547" s="92" t="s">
        <v>232</v>
      </c>
      <c r="C547" s="92">
        <v>24.05</v>
      </c>
      <c r="D547" s="92"/>
      <c r="E547" s="106">
        <f>C547</f>
        <v>24.05</v>
      </c>
      <c r="F547" s="284"/>
      <c r="G547" s="265"/>
    </row>
    <row r="548" spans="1:7" ht="12.75">
      <c r="A548" s="529"/>
      <c r="B548" s="92" t="s">
        <v>233</v>
      </c>
      <c r="C548" s="92">
        <v>2.3</v>
      </c>
      <c r="D548" s="92"/>
      <c r="E548" s="106">
        <f>C548</f>
        <v>2.3</v>
      </c>
      <c r="F548" s="284"/>
      <c r="G548" s="265"/>
    </row>
    <row r="549" spans="1:7" ht="13.5" thickBot="1">
      <c r="A549" s="40"/>
      <c r="B549" s="70"/>
      <c r="C549" s="45"/>
      <c r="D549" s="353" t="s">
        <v>2</v>
      </c>
      <c r="E549" s="358">
        <f>SUM(E529:E548)</f>
        <v>224.05</v>
      </c>
      <c r="F549" s="52"/>
      <c r="G549" s="55"/>
    </row>
    <row r="550" spans="1:7" ht="13.5" thickBot="1">
      <c r="A550" s="40"/>
      <c r="B550" s="70"/>
      <c r="C550" s="45"/>
      <c r="D550" s="222"/>
      <c r="E550" s="277"/>
      <c r="F550" s="52"/>
      <c r="G550" s="55"/>
    </row>
    <row r="551" spans="1:7" ht="13.5" thickBot="1">
      <c r="A551" s="80" t="s">
        <v>498</v>
      </c>
      <c r="B551" s="548" t="str">
        <f>Planilha!C56</f>
        <v>REVESTIMENTO COM CERÂMICA APLICADO EM PAREDE,
ACABAMENTO ESMALTADO, AMBIENTE INTERNO/EXTERNO,
PADRÃO EXTRA, DIMENSÃO DA PEÇA ATÉ 2025 CM2, PEI III,
ASSENTAMENTO COM ARGAMASSA INDUSTRIALIZADA, INCLUSIVE
 REJUNTAMENTO</v>
      </c>
      <c r="C551" s="549"/>
      <c r="D551" s="549"/>
      <c r="E551" s="550"/>
      <c r="F551" s="81">
        <f>F560</f>
        <v>46.19</v>
      </c>
      <c r="G551" s="80" t="s">
        <v>94</v>
      </c>
    </row>
    <row r="552" spans="1:7" ht="12.75">
      <c r="A552" s="40"/>
      <c r="B552" s="70"/>
      <c r="C552" s="45"/>
      <c r="D552" s="489"/>
      <c r="E552" s="37"/>
      <c r="F552" s="52"/>
      <c r="G552" s="55"/>
    </row>
    <row r="553" spans="1:7" ht="12.75">
      <c r="A553" s="40"/>
      <c r="B553" s="112" t="s">
        <v>20</v>
      </c>
      <c r="C553" s="112" t="s">
        <v>21</v>
      </c>
      <c r="D553" s="112" t="s">
        <v>22</v>
      </c>
      <c r="E553" s="228" t="s">
        <v>24</v>
      </c>
      <c r="F553" s="112" t="s">
        <v>23</v>
      </c>
      <c r="G553" s="55"/>
    </row>
    <row r="554" spans="1:7" ht="12.75">
      <c r="A554" s="40"/>
      <c r="B554" s="104" t="s">
        <v>264</v>
      </c>
      <c r="C554" s="106">
        <v>1.38</v>
      </c>
      <c r="D554" s="106">
        <v>1.8</v>
      </c>
      <c r="E554" s="263">
        <v>2</v>
      </c>
      <c r="F554" s="106">
        <f aca="true" t="shared" si="19" ref="F554:F559">(C554*D554)*E554</f>
        <v>4.97</v>
      </c>
      <c r="G554" s="55"/>
    </row>
    <row r="555" spans="1:7" ht="12.75">
      <c r="A555" s="40"/>
      <c r="B555" s="104" t="s">
        <v>265</v>
      </c>
      <c r="C555" s="106">
        <v>2</v>
      </c>
      <c r="D555" s="106">
        <v>1.8</v>
      </c>
      <c r="E555" s="263">
        <v>2</v>
      </c>
      <c r="F555" s="106">
        <f t="shared" si="19"/>
        <v>7.2</v>
      </c>
      <c r="G555" s="55"/>
    </row>
    <row r="556" spans="1:7" ht="12.75">
      <c r="A556" s="40"/>
      <c r="B556" s="92" t="s">
        <v>266</v>
      </c>
      <c r="C556" s="92">
        <v>2.15</v>
      </c>
      <c r="D556" s="106">
        <v>1.8</v>
      </c>
      <c r="E556" s="264">
        <v>2</v>
      </c>
      <c r="F556" s="110">
        <f t="shared" si="19"/>
        <v>7.74</v>
      </c>
      <c r="G556" s="55"/>
    </row>
    <row r="557" spans="1:7" ht="12.75">
      <c r="A557" s="40"/>
      <c r="B557" s="92" t="s">
        <v>267</v>
      </c>
      <c r="C557" s="473">
        <v>1.6</v>
      </c>
      <c r="D557" s="106">
        <v>1.8</v>
      </c>
      <c r="E557" s="471">
        <v>2</v>
      </c>
      <c r="F557" s="110">
        <f t="shared" si="19"/>
        <v>5.76</v>
      </c>
      <c r="G557" s="55"/>
    </row>
    <row r="558" spans="1:7" ht="12.75">
      <c r="A558" s="40"/>
      <c r="B558" s="92" t="s">
        <v>478</v>
      </c>
      <c r="C558" s="473">
        <v>3.25</v>
      </c>
      <c r="D558" s="109">
        <v>1.8</v>
      </c>
      <c r="E558" s="472">
        <v>2</v>
      </c>
      <c r="F558" s="470">
        <f t="shared" si="19"/>
        <v>11.7</v>
      </c>
      <c r="G558" s="55"/>
    </row>
    <row r="559" spans="1:7" ht="13.5" thickBot="1">
      <c r="A559" s="40"/>
      <c r="B559" s="474" t="s">
        <v>478</v>
      </c>
      <c r="C559" s="475">
        <v>2.45</v>
      </c>
      <c r="D559" s="356">
        <v>1.8</v>
      </c>
      <c r="E559" s="472">
        <v>2</v>
      </c>
      <c r="F559" s="469">
        <f t="shared" si="19"/>
        <v>8.82</v>
      </c>
      <c r="G559" s="55"/>
    </row>
    <row r="560" spans="1:7" ht="13.5" thickBot="1">
      <c r="A560" s="40"/>
      <c r="B560" s="45"/>
      <c r="C560" s="45"/>
      <c r="D560" s="52"/>
      <c r="E560" s="361" t="s">
        <v>62</v>
      </c>
      <c r="F560" s="205">
        <f>SUM(F554:F559)</f>
        <v>46.19</v>
      </c>
      <c r="G560" s="35"/>
    </row>
    <row r="561" spans="1:7" ht="13.5" thickBot="1">
      <c r="A561" s="40"/>
      <c r="B561" s="45"/>
      <c r="C561" s="45"/>
      <c r="D561" s="52"/>
      <c r="E561" s="222"/>
      <c r="F561" s="365"/>
      <c r="G561" s="35"/>
    </row>
    <row r="562" spans="1:7" ht="13.5" thickBot="1">
      <c r="A562" s="79">
        <v>9</v>
      </c>
      <c r="B562" s="557" t="s">
        <v>5</v>
      </c>
      <c r="C562" s="558"/>
      <c r="D562" s="558"/>
      <c r="E562" s="558"/>
      <c r="F562" s="558"/>
      <c r="G562" s="559"/>
    </row>
    <row r="563" spans="1:7" ht="13.5" thickBot="1">
      <c r="A563" s="485"/>
      <c r="B563" s="45"/>
      <c r="C563" s="38"/>
      <c r="D563" s="43"/>
      <c r="E563" s="38"/>
      <c r="F563" s="57"/>
      <c r="G563" s="55"/>
    </row>
    <row r="564" spans="1:7" ht="13.5" thickBot="1">
      <c r="A564" s="80" t="s">
        <v>500</v>
      </c>
      <c r="B564" s="548" t="str">
        <f>Planilha!C58</f>
        <v>LIXAMENTO MANUAL EM PAREDE PARA REMOÇÃO DE TINTA</v>
      </c>
      <c r="C564" s="549"/>
      <c r="D564" s="549"/>
      <c r="E564" s="550"/>
      <c r="F564" s="81">
        <f>G593</f>
        <v>858.54</v>
      </c>
      <c r="G564" s="80" t="s">
        <v>94</v>
      </c>
    </row>
    <row r="565" spans="1:7" ht="12.75">
      <c r="A565" s="485"/>
      <c r="B565" s="45"/>
      <c r="C565" s="38"/>
      <c r="D565" s="43"/>
      <c r="E565" s="38"/>
      <c r="F565" s="57"/>
      <c r="G565" s="55"/>
    </row>
    <row r="566" spans="1:7" ht="12.75">
      <c r="A566" s="485"/>
      <c r="B566" s="112" t="s">
        <v>20</v>
      </c>
      <c r="C566" s="112" t="s">
        <v>21</v>
      </c>
      <c r="D566" s="112" t="s">
        <v>26</v>
      </c>
      <c r="E566" s="112" t="s">
        <v>231</v>
      </c>
      <c r="F566" s="373" t="s">
        <v>438</v>
      </c>
      <c r="G566" s="237" t="s">
        <v>23</v>
      </c>
    </row>
    <row r="567" spans="1:7" ht="12.75">
      <c r="A567" s="485"/>
      <c r="B567" s="104" t="s">
        <v>360</v>
      </c>
      <c r="C567" s="106">
        <v>2.45</v>
      </c>
      <c r="D567" s="106">
        <v>3.25</v>
      </c>
      <c r="E567" s="106">
        <v>1.2</v>
      </c>
      <c r="F567" s="257">
        <f>(C567+D567)*2</f>
        <v>11.4</v>
      </c>
      <c r="G567" s="108">
        <f>F567*E567</f>
        <v>13.68</v>
      </c>
    </row>
    <row r="568" spans="1:7" ht="12.75">
      <c r="A568" s="485"/>
      <c r="B568" s="104" t="s">
        <v>424</v>
      </c>
      <c r="C568" s="106">
        <v>1.75</v>
      </c>
      <c r="D568" s="106">
        <v>3.25</v>
      </c>
      <c r="E568" s="106">
        <v>3</v>
      </c>
      <c r="F568" s="257">
        <f>(C568+D568)*2</f>
        <v>10</v>
      </c>
      <c r="G568" s="108">
        <f>F568*E568</f>
        <v>30</v>
      </c>
    </row>
    <row r="569" spans="1:7" ht="12.75">
      <c r="A569" s="485"/>
      <c r="B569" s="92" t="s">
        <v>417</v>
      </c>
      <c r="C569" s="106">
        <v>1.8</v>
      </c>
      <c r="D569" s="106">
        <v>3.25</v>
      </c>
      <c r="E569" s="106">
        <v>3</v>
      </c>
      <c r="F569" s="257">
        <f>(C569+D569)*2</f>
        <v>10.1</v>
      </c>
      <c r="G569" s="108">
        <f>F569*E569</f>
        <v>30.3</v>
      </c>
    </row>
    <row r="570" spans="1:7" ht="12.75">
      <c r="A570" s="485"/>
      <c r="B570" s="104" t="s">
        <v>425</v>
      </c>
      <c r="C570" s="106">
        <v>3.05</v>
      </c>
      <c r="D570" s="106">
        <v>3</v>
      </c>
      <c r="E570" s="106">
        <v>3</v>
      </c>
      <c r="F570" s="257">
        <f>(C570+D570)*2</f>
        <v>12.1</v>
      </c>
      <c r="G570" s="108">
        <f>F570*E570</f>
        <v>36.3</v>
      </c>
    </row>
    <row r="571" spans="1:10" ht="12.75">
      <c r="A571" s="485"/>
      <c r="B571" s="104" t="s">
        <v>426</v>
      </c>
      <c r="C571" s="106">
        <v>1.38</v>
      </c>
      <c r="D571" s="106"/>
      <c r="E571" s="106">
        <v>1.2</v>
      </c>
      <c r="F571" s="257"/>
      <c r="G571" s="108">
        <f>C571*E571</f>
        <v>1.66</v>
      </c>
      <c r="J571">
        <v>10.4</v>
      </c>
    </row>
    <row r="572" spans="1:10" ht="12.75">
      <c r="A572" s="485"/>
      <c r="B572" s="104" t="s">
        <v>272</v>
      </c>
      <c r="C572" s="106">
        <v>1.38</v>
      </c>
      <c r="D572" s="106"/>
      <c r="E572" s="106">
        <v>1.2</v>
      </c>
      <c r="F572" s="257"/>
      <c r="G572" s="108">
        <f>C572*E572</f>
        <v>1.66</v>
      </c>
      <c r="J572">
        <v>12.5</v>
      </c>
    </row>
    <row r="573" spans="1:10" ht="12.75">
      <c r="A573" s="485"/>
      <c r="B573" s="92" t="s">
        <v>206</v>
      </c>
      <c r="C573" s="92">
        <v>2.6</v>
      </c>
      <c r="D573" s="106">
        <v>4.4</v>
      </c>
      <c r="E573" s="106">
        <v>3</v>
      </c>
      <c r="F573" s="257">
        <f>C573+(D573*2)</f>
        <v>11.4</v>
      </c>
      <c r="G573" s="108">
        <f aca="true" t="shared" si="20" ref="G573:G579">F573*E573</f>
        <v>34.2</v>
      </c>
      <c r="J573">
        <f>J571+J572</f>
        <v>22.9</v>
      </c>
    </row>
    <row r="574" spans="1:7" ht="12.75">
      <c r="A574" s="485"/>
      <c r="B574" s="92" t="s">
        <v>413</v>
      </c>
      <c r="C574" s="92">
        <v>3.3</v>
      </c>
      <c r="D574" s="106">
        <v>1.35</v>
      </c>
      <c r="E574" s="106">
        <v>1.2</v>
      </c>
      <c r="F574" s="257">
        <f>(C574+D574)*2</f>
        <v>9.3</v>
      </c>
      <c r="G574" s="108">
        <f t="shared" si="20"/>
        <v>11.16</v>
      </c>
    </row>
    <row r="575" spans="1:7" ht="14.25" customHeight="1">
      <c r="A575" s="485"/>
      <c r="B575" s="92" t="s">
        <v>216</v>
      </c>
      <c r="C575" s="92">
        <v>3.1</v>
      </c>
      <c r="D575" s="106">
        <v>3.3</v>
      </c>
      <c r="E575" s="106">
        <v>3</v>
      </c>
      <c r="F575" s="257">
        <f>(C575+D575)*2</f>
        <v>12.8</v>
      </c>
      <c r="G575" s="108">
        <f t="shared" si="20"/>
        <v>38.4</v>
      </c>
    </row>
    <row r="576" spans="1:7" ht="12.75">
      <c r="A576" s="485"/>
      <c r="B576" s="92" t="s">
        <v>427</v>
      </c>
      <c r="C576" s="92">
        <v>3.3</v>
      </c>
      <c r="D576" s="106">
        <v>2.6</v>
      </c>
      <c r="E576" s="106">
        <v>3</v>
      </c>
      <c r="F576" s="257">
        <f>C576+(D576)*2</f>
        <v>8.5</v>
      </c>
      <c r="G576" s="108">
        <f t="shared" si="20"/>
        <v>25.5</v>
      </c>
    </row>
    <row r="577" spans="1:8" ht="12.75">
      <c r="A577" s="485"/>
      <c r="B577" s="243" t="s">
        <v>207</v>
      </c>
      <c r="C577" s="92">
        <v>4.5</v>
      </c>
      <c r="D577" s="106">
        <v>2.6</v>
      </c>
      <c r="E577" s="106">
        <v>3</v>
      </c>
      <c r="F577" s="257">
        <f aca="true" t="shared" si="21" ref="F577:F582">(C577+D577)*2</f>
        <v>14.2</v>
      </c>
      <c r="G577" s="108">
        <f t="shared" si="20"/>
        <v>42.6</v>
      </c>
      <c r="H577" s="52"/>
    </row>
    <row r="578" spans="1:8" ht="12.75">
      <c r="A578" s="485"/>
      <c r="B578" s="243" t="s">
        <v>416</v>
      </c>
      <c r="C578" s="92">
        <v>1.3</v>
      </c>
      <c r="D578" s="106">
        <v>2.6</v>
      </c>
      <c r="E578" s="106">
        <v>1.2</v>
      </c>
      <c r="F578" s="257">
        <f t="shared" si="21"/>
        <v>7.8</v>
      </c>
      <c r="G578" s="108">
        <f t="shared" si="20"/>
        <v>9.36</v>
      </c>
      <c r="H578" s="52"/>
    </row>
    <row r="579" spans="1:8" ht="12.75">
      <c r="A579" s="485"/>
      <c r="B579" s="92" t="s">
        <v>428</v>
      </c>
      <c r="C579" s="92">
        <v>3.05</v>
      </c>
      <c r="D579" s="106">
        <v>1.6</v>
      </c>
      <c r="E579" s="106">
        <v>3</v>
      </c>
      <c r="F579" s="257">
        <f t="shared" si="21"/>
        <v>9.3</v>
      </c>
      <c r="G579" s="108">
        <f t="shared" si="20"/>
        <v>27.9</v>
      </c>
      <c r="H579" s="52"/>
    </row>
    <row r="580" spans="1:8" ht="12.75">
      <c r="A580" s="485"/>
      <c r="B580" s="92" t="s">
        <v>429</v>
      </c>
      <c r="C580" s="92">
        <v>3.05</v>
      </c>
      <c r="D580" s="106">
        <v>2.4</v>
      </c>
      <c r="E580" s="106">
        <v>3</v>
      </c>
      <c r="F580" s="257">
        <f t="shared" si="21"/>
        <v>10.9</v>
      </c>
      <c r="G580" s="108">
        <f>(F580*E580)-4.56</f>
        <v>28.14</v>
      </c>
      <c r="H580" s="258"/>
    </row>
    <row r="581" spans="1:8" ht="12.75">
      <c r="A581" s="485"/>
      <c r="B581" s="92" t="s">
        <v>205</v>
      </c>
      <c r="C581" s="92">
        <v>3.6</v>
      </c>
      <c r="D581" s="106">
        <v>4.15</v>
      </c>
      <c r="E581" s="106">
        <v>3</v>
      </c>
      <c r="F581" s="257">
        <f t="shared" si="21"/>
        <v>15.5</v>
      </c>
      <c r="G581" s="108">
        <f aca="true" t="shared" si="22" ref="G581:G592">F581*E581</f>
        <v>46.5</v>
      </c>
      <c r="H581" s="258"/>
    </row>
    <row r="582" spans="1:8" ht="12.75">
      <c r="A582" s="485"/>
      <c r="B582" s="92" t="s">
        <v>280</v>
      </c>
      <c r="C582" s="92">
        <v>1.2</v>
      </c>
      <c r="D582" s="106">
        <v>1.2</v>
      </c>
      <c r="E582" s="106">
        <v>3</v>
      </c>
      <c r="F582" s="257">
        <f t="shared" si="21"/>
        <v>4.8</v>
      </c>
      <c r="G582" s="108">
        <f t="shared" si="22"/>
        <v>14.4</v>
      </c>
      <c r="H582" s="258"/>
    </row>
    <row r="583" spans="1:8" ht="12.75">
      <c r="A583" s="485"/>
      <c r="B583" s="92" t="s">
        <v>430</v>
      </c>
      <c r="C583" s="92">
        <v>2.05</v>
      </c>
      <c r="D583" s="106">
        <v>1.7</v>
      </c>
      <c r="E583" s="106">
        <v>3</v>
      </c>
      <c r="F583" s="257">
        <f>C583+(D583*2)</f>
        <v>5.45</v>
      </c>
      <c r="G583" s="108">
        <f t="shared" si="22"/>
        <v>16.35</v>
      </c>
      <c r="H583" s="258"/>
    </row>
    <row r="584" spans="1:8" ht="12.75">
      <c r="A584" s="485"/>
      <c r="B584" s="92" t="s">
        <v>359</v>
      </c>
      <c r="C584" s="92">
        <v>2.05</v>
      </c>
      <c r="D584" s="106">
        <v>2.3</v>
      </c>
      <c r="E584" s="106">
        <v>3</v>
      </c>
      <c r="F584" s="257">
        <f>C584+(D584*2)</f>
        <v>6.65</v>
      </c>
      <c r="G584" s="108">
        <f t="shared" si="22"/>
        <v>19.95</v>
      </c>
      <c r="H584" s="258"/>
    </row>
    <row r="585" spans="1:8" ht="12.75">
      <c r="A585" s="485"/>
      <c r="B585" s="92" t="s">
        <v>431</v>
      </c>
      <c r="C585" s="92">
        <v>9.15</v>
      </c>
      <c r="D585" s="106">
        <v>1.2</v>
      </c>
      <c r="E585" s="106">
        <v>3</v>
      </c>
      <c r="F585" s="257">
        <f>C585*2+(D585)</f>
        <v>19.5</v>
      </c>
      <c r="G585" s="108">
        <f t="shared" si="22"/>
        <v>58.5</v>
      </c>
      <c r="H585" s="258"/>
    </row>
    <row r="586" spans="1:8" ht="12.75">
      <c r="A586" s="485"/>
      <c r="B586" s="92" t="s">
        <v>432</v>
      </c>
      <c r="C586" s="92">
        <v>3.35</v>
      </c>
      <c r="D586" s="106">
        <v>2.75</v>
      </c>
      <c r="E586" s="106">
        <v>3</v>
      </c>
      <c r="F586" s="244">
        <f>C586+D586</f>
        <v>6.1</v>
      </c>
      <c r="G586" s="108">
        <f t="shared" si="22"/>
        <v>18.3</v>
      </c>
      <c r="H586" s="258"/>
    </row>
    <row r="587" spans="1:8" ht="12.75">
      <c r="A587" s="485"/>
      <c r="B587" s="92" t="s">
        <v>433</v>
      </c>
      <c r="C587" s="92">
        <v>1.25</v>
      </c>
      <c r="D587" s="106"/>
      <c r="E587" s="106">
        <v>3</v>
      </c>
      <c r="F587" s="206">
        <f>C587*2</f>
        <v>2.5</v>
      </c>
      <c r="G587" s="108">
        <f t="shared" si="22"/>
        <v>7.5</v>
      </c>
      <c r="H587" s="258"/>
    </row>
    <row r="588" spans="1:8" ht="12.75">
      <c r="A588" s="485"/>
      <c r="B588" s="92" t="s">
        <v>434</v>
      </c>
      <c r="C588" s="92">
        <v>2.9</v>
      </c>
      <c r="D588" s="106"/>
      <c r="E588" s="106">
        <v>3</v>
      </c>
      <c r="F588" s="206">
        <f>C588</f>
        <v>2.9</v>
      </c>
      <c r="G588" s="108">
        <f t="shared" si="22"/>
        <v>8.7</v>
      </c>
      <c r="H588" s="258"/>
    </row>
    <row r="589" spans="1:8" ht="12.75">
      <c r="A589" s="485"/>
      <c r="B589" s="92" t="s">
        <v>361</v>
      </c>
      <c r="C589" s="92">
        <v>3.35</v>
      </c>
      <c r="D589" s="106">
        <v>2.75</v>
      </c>
      <c r="E589" s="106">
        <v>3</v>
      </c>
      <c r="F589" s="206">
        <f>C589+(D589*2)+1.55</f>
        <v>10.4</v>
      </c>
      <c r="G589" s="108">
        <f t="shared" si="22"/>
        <v>31.2</v>
      </c>
      <c r="H589" s="258"/>
    </row>
    <row r="590" spans="1:8" ht="12.75">
      <c r="A590" s="485"/>
      <c r="B590" s="92" t="s">
        <v>435</v>
      </c>
      <c r="C590" s="92">
        <v>22.35</v>
      </c>
      <c r="D590" s="106">
        <v>9.2</v>
      </c>
      <c r="E590" s="106">
        <v>3.72</v>
      </c>
      <c r="F590" s="206">
        <f>(C590+D590)*2</f>
        <v>63.1</v>
      </c>
      <c r="G590" s="108">
        <f t="shared" si="22"/>
        <v>234.73</v>
      </c>
      <c r="H590" s="258"/>
    </row>
    <row r="591" spans="1:8" ht="12.75">
      <c r="A591" s="485"/>
      <c r="B591" s="86" t="s">
        <v>278</v>
      </c>
      <c r="C591" s="204">
        <v>9.2</v>
      </c>
      <c r="D591" s="204"/>
      <c r="E591" s="106">
        <v>1.38</v>
      </c>
      <c r="F591" s="207">
        <f>C591</f>
        <v>9.2</v>
      </c>
      <c r="G591" s="108">
        <f t="shared" si="22"/>
        <v>12.7</v>
      </c>
      <c r="H591" s="258"/>
    </row>
    <row r="592" spans="1:8" ht="13.5" thickBot="1">
      <c r="A592" s="485"/>
      <c r="B592" s="92" t="s">
        <v>286</v>
      </c>
      <c r="C592" s="110">
        <v>26.75</v>
      </c>
      <c r="D592" s="110"/>
      <c r="E592" s="106">
        <v>1.1</v>
      </c>
      <c r="F592" s="207">
        <f>C592*2</f>
        <v>53.5</v>
      </c>
      <c r="G592" s="108">
        <f t="shared" si="22"/>
        <v>58.85</v>
      </c>
      <c r="H592" s="258"/>
    </row>
    <row r="593" spans="1:8" ht="13.5" thickBot="1">
      <c r="A593" s="485"/>
      <c r="B593" s="45"/>
      <c r="C593" s="38"/>
      <c r="D593" s="43"/>
      <c r="E593" s="38"/>
      <c r="F593" s="379" t="s">
        <v>2</v>
      </c>
      <c r="G593" s="205">
        <f>SUM(G567:G592)</f>
        <v>858.54</v>
      </c>
      <c r="H593" s="258"/>
    </row>
    <row r="594" spans="1:8" ht="13.5" thickBot="1">
      <c r="A594" s="485"/>
      <c r="B594" s="45"/>
      <c r="C594" s="38"/>
      <c r="D594" s="43"/>
      <c r="E594" s="38"/>
      <c r="F594" s="489"/>
      <c r="G594" s="241"/>
      <c r="H594" s="258"/>
    </row>
    <row r="595" spans="1:8" ht="13.5" thickBot="1">
      <c r="A595" s="80" t="s">
        <v>501</v>
      </c>
      <c r="B595" s="548" t="str">
        <f>Planilha!C59</f>
        <v>EMASSAMENTO EM PAREDE COM MASSA CORRIDA (PVA), UMA (1) DEMÃO, INCLUSIVE LIXAMENTO PARA PINTURA. 
</v>
      </c>
      <c r="C595" s="549"/>
      <c r="D595" s="549"/>
      <c r="E595" s="550"/>
      <c r="F595" s="81">
        <f>G621</f>
        <v>587.7</v>
      </c>
      <c r="G595" s="80" t="s">
        <v>94</v>
      </c>
      <c r="H595" s="258"/>
    </row>
    <row r="596" spans="1:8" ht="12.75">
      <c r="A596" s="485"/>
      <c r="B596" s="45"/>
      <c r="C596" s="38"/>
      <c r="D596" s="43"/>
      <c r="E596" s="38"/>
      <c r="F596" s="489"/>
      <c r="G596" s="241"/>
      <c r="H596" s="258"/>
    </row>
    <row r="597" spans="1:8" ht="12.75">
      <c r="A597" s="485"/>
      <c r="B597" s="112" t="s">
        <v>20</v>
      </c>
      <c r="C597" s="112" t="s">
        <v>21</v>
      </c>
      <c r="D597" s="112" t="s">
        <v>26</v>
      </c>
      <c r="E597" s="112" t="s">
        <v>231</v>
      </c>
      <c r="F597" s="373" t="s">
        <v>276</v>
      </c>
      <c r="G597" s="237" t="s">
        <v>23</v>
      </c>
      <c r="H597" s="258"/>
    </row>
    <row r="598" spans="1:8" ht="12.75">
      <c r="A598" s="485"/>
      <c r="B598" s="104" t="s">
        <v>360</v>
      </c>
      <c r="C598" s="106">
        <v>2.45</v>
      </c>
      <c r="D598" s="106">
        <v>3.25</v>
      </c>
      <c r="E598" s="106">
        <v>1.2</v>
      </c>
      <c r="F598" s="257">
        <f aca="true" t="shared" si="23" ref="F598:F603">(C598+D598)*2</f>
        <v>11.4</v>
      </c>
      <c r="G598" s="108">
        <f aca="true" t="shared" si="24" ref="G598:G603">F598*E598</f>
        <v>13.68</v>
      </c>
      <c r="H598" s="258"/>
    </row>
    <row r="599" spans="1:8" ht="12.75">
      <c r="A599" s="485"/>
      <c r="B599" s="104" t="s">
        <v>424</v>
      </c>
      <c r="C599" s="106">
        <v>1.75</v>
      </c>
      <c r="D599" s="106">
        <v>3.25</v>
      </c>
      <c r="E599" s="106">
        <v>3</v>
      </c>
      <c r="F599" s="257">
        <f t="shared" si="23"/>
        <v>10</v>
      </c>
      <c r="G599" s="108">
        <f t="shared" si="24"/>
        <v>30</v>
      </c>
      <c r="H599" s="258"/>
    </row>
    <row r="600" spans="1:8" ht="12.75">
      <c r="A600" s="485"/>
      <c r="B600" s="92" t="s">
        <v>417</v>
      </c>
      <c r="C600" s="106">
        <v>1.8</v>
      </c>
      <c r="D600" s="106">
        <v>3.25</v>
      </c>
      <c r="E600" s="106">
        <v>3</v>
      </c>
      <c r="F600" s="257">
        <f t="shared" si="23"/>
        <v>10.1</v>
      </c>
      <c r="G600" s="108">
        <f t="shared" si="24"/>
        <v>30.3</v>
      </c>
      <c r="H600" s="258"/>
    </row>
    <row r="601" spans="1:8" ht="12.75">
      <c r="A601" s="485"/>
      <c r="B601" s="104" t="s">
        <v>425</v>
      </c>
      <c r="C601" s="106">
        <v>3.05</v>
      </c>
      <c r="D601" s="106">
        <v>3</v>
      </c>
      <c r="E601" s="106">
        <v>3</v>
      </c>
      <c r="F601" s="257">
        <f t="shared" si="23"/>
        <v>12.1</v>
      </c>
      <c r="G601" s="108">
        <f t="shared" si="24"/>
        <v>36.3</v>
      </c>
      <c r="H601" s="258"/>
    </row>
    <row r="602" spans="1:8" ht="12.75">
      <c r="A602" s="485"/>
      <c r="B602" s="104" t="s">
        <v>426</v>
      </c>
      <c r="C602" s="106">
        <v>1.38</v>
      </c>
      <c r="D602" s="106">
        <v>2</v>
      </c>
      <c r="E602" s="106">
        <v>1.2</v>
      </c>
      <c r="F602" s="257">
        <f t="shared" si="23"/>
        <v>6.76</v>
      </c>
      <c r="G602" s="108">
        <f t="shared" si="24"/>
        <v>8.11</v>
      </c>
      <c r="H602" s="258"/>
    </row>
    <row r="603" spans="1:8" ht="12.75">
      <c r="A603" s="485"/>
      <c r="B603" s="104" t="s">
        <v>272</v>
      </c>
      <c r="C603" s="106">
        <v>1.38</v>
      </c>
      <c r="D603" s="106">
        <v>2</v>
      </c>
      <c r="E603" s="106">
        <v>1.2</v>
      </c>
      <c r="F603" s="257">
        <f t="shared" si="23"/>
        <v>6.76</v>
      </c>
      <c r="G603" s="108">
        <f t="shared" si="24"/>
        <v>8.11</v>
      </c>
      <c r="H603" s="258"/>
    </row>
    <row r="604" spans="1:8" ht="12.75">
      <c r="A604" s="485"/>
      <c r="B604" s="92" t="s">
        <v>206</v>
      </c>
      <c r="C604" s="110">
        <v>2.6</v>
      </c>
      <c r="D604" s="106">
        <v>4.4</v>
      </c>
      <c r="E604" s="106">
        <v>3</v>
      </c>
      <c r="F604" s="257">
        <f>C604+(D604*2)</f>
        <v>11.4</v>
      </c>
      <c r="G604" s="108">
        <f aca="true" t="shared" si="25" ref="G604:G610">F604*E604</f>
        <v>34.2</v>
      </c>
      <c r="H604" s="258"/>
    </row>
    <row r="605" spans="1:8" ht="12.75">
      <c r="A605" s="485"/>
      <c r="B605" s="92" t="s">
        <v>413</v>
      </c>
      <c r="C605" s="110">
        <v>3.3</v>
      </c>
      <c r="D605" s="106">
        <v>1.35</v>
      </c>
      <c r="E605" s="106">
        <v>1.2</v>
      </c>
      <c r="F605" s="257">
        <f>(C605+D605)*2</f>
        <v>9.3</v>
      </c>
      <c r="G605" s="108">
        <f t="shared" si="25"/>
        <v>11.16</v>
      </c>
      <c r="H605" s="258"/>
    </row>
    <row r="606" spans="1:8" ht="12.75">
      <c r="A606" s="485"/>
      <c r="B606" s="92" t="s">
        <v>216</v>
      </c>
      <c r="C606" s="110">
        <v>3.1</v>
      </c>
      <c r="D606" s="106">
        <v>3.3</v>
      </c>
      <c r="E606" s="106">
        <v>3</v>
      </c>
      <c r="F606" s="257">
        <f>(C606+D606)*2</f>
        <v>12.8</v>
      </c>
      <c r="G606" s="108">
        <f t="shared" si="25"/>
        <v>38.4</v>
      </c>
      <c r="H606" s="258"/>
    </row>
    <row r="607" spans="1:8" ht="12.75">
      <c r="A607" s="485"/>
      <c r="B607" s="92" t="s">
        <v>427</v>
      </c>
      <c r="C607" s="110">
        <v>3.3</v>
      </c>
      <c r="D607" s="106">
        <v>2.6</v>
      </c>
      <c r="E607" s="106">
        <v>3</v>
      </c>
      <c r="F607" s="257">
        <f>C607+(D607)*2</f>
        <v>8.5</v>
      </c>
      <c r="G607" s="108">
        <f t="shared" si="25"/>
        <v>25.5</v>
      </c>
      <c r="H607" s="258"/>
    </row>
    <row r="608" spans="1:8" ht="12.75">
      <c r="A608" s="485"/>
      <c r="B608" s="243" t="s">
        <v>207</v>
      </c>
      <c r="C608" s="110">
        <v>4.5</v>
      </c>
      <c r="D608" s="106">
        <v>2.6</v>
      </c>
      <c r="E608" s="106">
        <v>3</v>
      </c>
      <c r="F608" s="257">
        <f aca="true" t="shared" si="26" ref="F608:F613">(C608+D608)*2</f>
        <v>14.2</v>
      </c>
      <c r="G608" s="108">
        <f t="shared" si="25"/>
        <v>42.6</v>
      </c>
      <c r="H608" s="258"/>
    </row>
    <row r="609" spans="1:8" ht="12.75">
      <c r="A609" s="485"/>
      <c r="B609" s="243" t="s">
        <v>416</v>
      </c>
      <c r="C609" s="110">
        <v>1.3</v>
      </c>
      <c r="D609" s="106">
        <v>2.6</v>
      </c>
      <c r="E609" s="106">
        <v>1.2</v>
      </c>
      <c r="F609" s="257">
        <f t="shared" si="26"/>
        <v>7.8</v>
      </c>
      <c r="G609" s="108">
        <f t="shared" si="25"/>
        <v>9.36</v>
      </c>
      <c r="H609" s="258"/>
    </row>
    <row r="610" spans="1:8" ht="12.75">
      <c r="A610" s="485"/>
      <c r="B610" s="92" t="s">
        <v>428</v>
      </c>
      <c r="C610" s="110">
        <v>3.05</v>
      </c>
      <c r="D610" s="106">
        <v>1.6</v>
      </c>
      <c r="E610" s="106">
        <v>3</v>
      </c>
      <c r="F610" s="257">
        <f t="shared" si="26"/>
        <v>9.3</v>
      </c>
      <c r="G610" s="108">
        <f t="shared" si="25"/>
        <v>27.9</v>
      </c>
      <c r="H610" s="258"/>
    </row>
    <row r="611" spans="1:8" ht="12.75">
      <c r="A611" s="485"/>
      <c r="B611" s="92" t="s">
        <v>429</v>
      </c>
      <c r="C611" s="110">
        <v>3.05</v>
      </c>
      <c r="D611" s="106">
        <v>2.4</v>
      </c>
      <c r="E611" s="106">
        <v>3</v>
      </c>
      <c r="F611" s="257">
        <f t="shared" si="26"/>
        <v>10.9</v>
      </c>
      <c r="G611" s="108">
        <f>(F611*E611)-4.56</f>
        <v>28.14</v>
      </c>
      <c r="H611" s="258"/>
    </row>
    <row r="612" spans="1:8" ht="12.75">
      <c r="A612" s="485"/>
      <c r="B612" s="92" t="s">
        <v>205</v>
      </c>
      <c r="C612" s="110">
        <v>3.6</v>
      </c>
      <c r="D612" s="106">
        <v>4.15</v>
      </c>
      <c r="E612" s="106">
        <v>3</v>
      </c>
      <c r="F612" s="257">
        <f t="shared" si="26"/>
        <v>15.5</v>
      </c>
      <c r="G612" s="108">
        <f aca="true" t="shared" si="27" ref="G612:G620">F612*E612</f>
        <v>46.5</v>
      </c>
      <c r="H612" s="258"/>
    </row>
    <row r="613" spans="1:8" ht="12.75">
      <c r="A613" s="485"/>
      <c r="B613" s="92" t="s">
        <v>280</v>
      </c>
      <c r="C613" s="110">
        <v>1.2</v>
      </c>
      <c r="D613" s="106">
        <v>1.2</v>
      </c>
      <c r="E613" s="106">
        <v>3</v>
      </c>
      <c r="F613" s="257">
        <f t="shared" si="26"/>
        <v>4.8</v>
      </c>
      <c r="G613" s="108">
        <f t="shared" si="27"/>
        <v>14.4</v>
      </c>
      <c r="H613" s="258"/>
    </row>
    <row r="614" spans="1:8" ht="12.75">
      <c r="A614" s="485"/>
      <c r="B614" s="92" t="s">
        <v>430</v>
      </c>
      <c r="C614" s="110">
        <v>2.05</v>
      </c>
      <c r="D614" s="106">
        <v>1.7</v>
      </c>
      <c r="E614" s="106">
        <v>3</v>
      </c>
      <c r="F614" s="257">
        <f>C614+(D614*2)</f>
        <v>5.45</v>
      </c>
      <c r="G614" s="108">
        <f t="shared" si="27"/>
        <v>16.35</v>
      </c>
      <c r="H614" s="258"/>
    </row>
    <row r="615" spans="1:8" ht="12.75">
      <c r="A615" s="485"/>
      <c r="B615" s="92" t="s">
        <v>359</v>
      </c>
      <c r="C615" s="110">
        <v>2.05</v>
      </c>
      <c r="D615" s="106">
        <v>2.3</v>
      </c>
      <c r="E615" s="106">
        <v>3</v>
      </c>
      <c r="F615" s="257">
        <f>C615+(D615*2)</f>
        <v>6.65</v>
      </c>
      <c r="G615" s="108">
        <f t="shared" si="27"/>
        <v>19.95</v>
      </c>
      <c r="H615" s="258"/>
    </row>
    <row r="616" spans="1:8" ht="12.75">
      <c r="A616" s="485"/>
      <c r="B616" s="92" t="s">
        <v>431</v>
      </c>
      <c r="C616" s="110">
        <v>9.15</v>
      </c>
      <c r="D616" s="106">
        <v>1.2</v>
      </c>
      <c r="E616" s="106">
        <v>3</v>
      </c>
      <c r="F616" s="257">
        <f>C616*2+(D616)</f>
        <v>19.5</v>
      </c>
      <c r="G616" s="108">
        <f t="shared" si="27"/>
        <v>58.5</v>
      </c>
      <c r="H616" s="258"/>
    </row>
    <row r="617" spans="1:8" ht="12.75">
      <c r="A617" s="485"/>
      <c r="B617" s="92" t="s">
        <v>432</v>
      </c>
      <c r="C617" s="110">
        <v>3.35</v>
      </c>
      <c r="D617" s="106">
        <v>2.75</v>
      </c>
      <c r="E617" s="106">
        <v>3</v>
      </c>
      <c r="F617" s="244">
        <f>C617+D617</f>
        <v>6.1</v>
      </c>
      <c r="G617" s="108">
        <f t="shared" si="27"/>
        <v>18.3</v>
      </c>
      <c r="H617" s="258"/>
    </row>
    <row r="618" spans="1:8" ht="12.75">
      <c r="A618" s="485"/>
      <c r="B618" s="92" t="s">
        <v>433</v>
      </c>
      <c r="C618" s="110">
        <v>1.25</v>
      </c>
      <c r="D618" s="106">
        <v>2.9</v>
      </c>
      <c r="E618" s="106">
        <v>3</v>
      </c>
      <c r="F618" s="206">
        <f>(C618*2)+E618</f>
        <v>5.5</v>
      </c>
      <c r="G618" s="108">
        <f t="shared" si="27"/>
        <v>16.5</v>
      </c>
      <c r="H618" s="258"/>
    </row>
    <row r="619" spans="1:8" ht="12.75">
      <c r="A619" s="485"/>
      <c r="B619" s="92" t="s">
        <v>434</v>
      </c>
      <c r="C619" s="110">
        <v>2.9</v>
      </c>
      <c r="D619" s="106">
        <v>1.6</v>
      </c>
      <c r="E619" s="106">
        <v>3</v>
      </c>
      <c r="F619" s="206">
        <f>(C619*2)+D619</f>
        <v>7.4</v>
      </c>
      <c r="G619" s="108">
        <f t="shared" si="27"/>
        <v>22.2</v>
      </c>
      <c r="H619" s="258"/>
    </row>
    <row r="620" spans="1:8" ht="13.5" thickBot="1">
      <c r="A620" s="485"/>
      <c r="B620" s="92" t="s">
        <v>361</v>
      </c>
      <c r="C620" s="110">
        <v>3.35</v>
      </c>
      <c r="D620" s="106">
        <v>2.75</v>
      </c>
      <c r="E620" s="106">
        <v>3</v>
      </c>
      <c r="F620" s="206">
        <f>C620+(D620*2)+1.55</f>
        <v>10.4</v>
      </c>
      <c r="G620" s="108">
        <f t="shared" si="27"/>
        <v>31.2</v>
      </c>
      <c r="H620" s="258"/>
    </row>
    <row r="621" spans="1:8" ht="13.5" thickBot="1">
      <c r="A621" s="485"/>
      <c r="B621" s="45"/>
      <c r="C621" s="45"/>
      <c r="D621" s="349"/>
      <c r="E621" s="350"/>
      <c r="F621" s="78" t="s">
        <v>2</v>
      </c>
      <c r="G621" s="352">
        <f>SUM(G598:G620)</f>
        <v>587.7</v>
      </c>
      <c r="H621" s="258"/>
    </row>
    <row r="622" spans="1:8" ht="13.5" thickBot="1">
      <c r="A622" s="485"/>
      <c r="B622" s="45"/>
      <c r="C622" s="45"/>
      <c r="D622" s="349"/>
      <c r="E622" s="350"/>
      <c r="F622" s="45"/>
      <c r="G622" s="351"/>
      <c r="H622" s="258"/>
    </row>
    <row r="623" spans="1:8" ht="13.5" thickBot="1">
      <c r="A623" s="227" t="s">
        <v>109</v>
      </c>
      <c r="B623" s="548" t="str">
        <f>Planilha!C60</f>
        <v>APLICAÇÃO DE FUNDO SELADOR ACRÍLICO EM PAREDES, UMA DEMÃO. AF_06/2014 - PAREDES NOVAS</v>
      </c>
      <c r="C623" s="549"/>
      <c r="D623" s="549"/>
      <c r="E623" s="550"/>
      <c r="F623" s="390">
        <f>G637</f>
        <v>95.24</v>
      </c>
      <c r="G623" s="227" t="s">
        <v>94</v>
      </c>
      <c r="H623" s="258"/>
    </row>
    <row r="624" spans="1:8" ht="12.75">
      <c r="A624" s="380"/>
      <c r="B624" s="381"/>
      <c r="C624" s="381"/>
      <c r="D624" s="381"/>
      <c r="E624" s="381"/>
      <c r="F624" s="381"/>
      <c r="G624" s="382"/>
      <c r="H624" s="258"/>
    </row>
    <row r="625" spans="1:8" ht="12.75">
      <c r="A625" s="380"/>
      <c r="B625" s="383" t="s">
        <v>20</v>
      </c>
      <c r="C625" s="383" t="s">
        <v>21</v>
      </c>
      <c r="D625" s="383" t="s">
        <v>392</v>
      </c>
      <c r="E625" s="383" t="s">
        <v>22</v>
      </c>
      <c r="F625" s="384" t="s">
        <v>276</v>
      </c>
      <c r="G625" s="385" t="s">
        <v>23</v>
      </c>
      <c r="H625" s="258"/>
    </row>
    <row r="626" spans="1:8" ht="12.75">
      <c r="A626" s="386"/>
      <c r="B626" s="387" t="s">
        <v>271</v>
      </c>
      <c r="C626" s="363">
        <v>2</v>
      </c>
      <c r="D626" s="363">
        <v>1.38</v>
      </c>
      <c r="E626" s="408">
        <v>1.2</v>
      </c>
      <c r="F626" s="363">
        <f>(C626+D626)*2</f>
        <v>6.76</v>
      </c>
      <c r="G626" s="389">
        <f>F626*E626</f>
        <v>8.11</v>
      </c>
      <c r="H626" s="258"/>
    </row>
    <row r="627" spans="1:8" ht="12.75">
      <c r="A627" s="386"/>
      <c r="B627" s="387" t="s">
        <v>272</v>
      </c>
      <c r="C627" s="363">
        <v>2</v>
      </c>
      <c r="D627" s="363">
        <v>1.38</v>
      </c>
      <c r="E627" s="408">
        <v>1.2</v>
      </c>
      <c r="F627" s="363">
        <f>(C627+D627)*2</f>
        <v>6.76</v>
      </c>
      <c r="G627" s="389">
        <f>F627*E627</f>
        <v>8.11</v>
      </c>
      <c r="H627" s="258"/>
    </row>
    <row r="628" spans="1:8" ht="12.75">
      <c r="A628" s="386"/>
      <c r="B628" s="388" t="s">
        <v>439</v>
      </c>
      <c r="C628" s="362">
        <v>2.6</v>
      </c>
      <c r="D628" s="363"/>
      <c r="E628" s="363">
        <v>3</v>
      </c>
      <c r="F628" s="363">
        <f>C628</f>
        <v>2.6</v>
      </c>
      <c r="G628" s="389">
        <f>F628*E628</f>
        <v>7.8</v>
      </c>
      <c r="H628" s="258"/>
    </row>
    <row r="629" spans="1:8" ht="12.75">
      <c r="A629" s="386"/>
      <c r="B629" s="388" t="s">
        <v>216</v>
      </c>
      <c r="C629" s="362">
        <v>3.1</v>
      </c>
      <c r="D629" s="363"/>
      <c r="E629" s="363">
        <v>3</v>
      </c>
      <c r="F629" s="362">
        <f>C629</f>
        <v>3.1</v>
      </c>
      <c r="G629" s="389">
        <f aca="true" t="shared" si="28" ref="G629:G636">F629*E629</f>
        <v>9.3</v>
      </c>
      <c r="H629" s="258"/>
    </row>
    <row r="630" spans="1:8" ht="12.75">
      <c r="A630" s="386"/>
      <c r="B630" s="388" t="s">
        <v>279</v>
      </c>
      <c r="C630" s="362">
        <v>2.15</v>
      </c>
      <c r="D630" s="363">
        <v>1.6</v>
      </c>
      <c r="E630" s="363">
        <v>1.2</v>
      </c>
      <c r="F630" s="388">
        <f>(C630+D630)*2</f>
        <v>7.5</v>
      </c>
      <c r="G630" s="389">
        <f t="shared" si="28"/>
        <v>9</v>
      </c>
      <c r="H630" s="258"/>
    </row>
    <row r="631" spans="1:8" ht="12.75">
      <c r="A631" s="386"/>
      <c r="B631" s="388" t="s">
        <v>427</v>
      </c>
      <c r="C631" s="362">
        <v>3.3</v>
      </c>
      <c r="D631" s="363"/>
      <c r="E631" s="363">
        <v>3</v>
      </c>
      <c r="F631" s="362">
        <f>C631</f>
        <v>3.3</v>
      </c>
      <c r="G631" s="389">
        <f t="shared" si="28"/>
        <v>9.9</v>
      </c>
      <c r="H631" s="258"/>
    </row>
    <row r="632" spans="1:8" ht="12.75">
      <c r="A632" s="386"/>
      <c r="B632" s="388" t="s">
        <v>430</v>
      </c>
      <c r="C632" s="362">
        <v>2.05</v>
      </c>
      <c r="D632" s="363"/>
      <c r="E632" s="363">
        <v>3</v>
      </c>
      <c r="F632" s="362">
        <f>C632</f>
        <v>2.05</v>
      </c>
      <c r="G632" s="389">
        <f t="shared" si="28"/>
        <v>6.15</v>
      </c>
      <c r="H632" s="258"/>
    </row>
    <row r="633" spans="1:8" ht="12.75">
      <c r="A633" s="386"/>
      <c r="B633" s="388" t="s">
        <v>359</v>
      </c>
      <c r="C633" s="362">
        <v>2.05</v>
      </c>
      <c r="D633" s="363"/>
      <c r="E633" s="363">
        <v>3</v>
      </c>
      <c r="F633" s="362">
        <f>C633</f>
        <v>2.05</v>
      </c>
      <c r="G633" s="389">
        <f t="shared" si="28"/>
        <v>6.15</v>
      </c>
      <c r="H633" s="258"/>
    </row>
    <row r="634" spans="1:8" ht="12.75">
      <c r="A634" s="386"/>
      <c r="B634" s="388" t="s">
        <v>433</v>
      </c>
      <c r="C634" s="362">
        <v>2.9</v>
      </c>
      <c r="D634" s="363"/>
      <c r="E634" s="363">
        <v>3</v>
      </c>
      <c r="F634" s="362">
        <f>C634</f>
        <v>2.9</v>
      </c>
      <c r="G634" s="389">
        <f t="shared" si="28"/>
        <v>8.7</v>
      </c>
      <c r="H634" s="258"/>
    </row>
    <row r="635" spans="1:8" ht="12.75">
      <c r="A635" s="386"/>
      <c r="B635" s="388" t="s">
        <v>434</v>
      </c>
      <c r="C635" s="362">
        <v>3.9</v>
      </c>
      <c r="D635" s="363">
        <v>1.6</v>
      </c>
      <c r="E635" s="363">
        <v>3</v>
      </c>
      <c r="F635" s="362">
        <f>C635+D635+1</f>
        <v>6.5</v>
      </c>
      <c r="G635" s="389">
        <f t="shared" si="28"/>
        <v>19.5</v>
      </c>
      <c r="H635" s="258"/>
    </row>
    <row r="636" spans="1:8" ht="13.5" thickBot="1">
      <c r="A636" s="386"/>
      <c r="B636" s="388" t="s">
        <v>256</v>
      </c>
      <c r="C636" s="362">
        <v>1.2</v>
      </c>
      <c r="D636" s="363"/>
      <c r="E636" s="363">
        <v>2.1</v>
      </c>
      <c r="F636" s="540">
        <f>C636</f>
        <v>1.2</v>
      </c>
      <c r="G636" s="541">
        <f t="shared" si="28"/>
        <v>2.52</v>
      </c>
      <c r="H636" s="258"/>
    </row>
    <row r="637" spans="1:8" ht="13.5" thickBot="1">
      <c r="A637" s="33"/>
      <c r="B637" s="34"/>
      <c r="C637" s="34"/>
      <c r="D637" s="246"/>
      <c r="E637" s="52"/>
      <c r="F637" s="195" t="s">
        <v>2</v>
      </c>
      <c r="G637" s="205">
        <f>SUM(G626:G636)</f>
        <v>95.24</v>
      </c>
      <c r="H637" s="258"/>
    </row>
    <row r="638" spans="1:8" ht="13.5" thickBot="1">
      <c r="A638" s="33"/>
      <c r="B638" s="34"/>
      <c r="C638" s="34"/>
      <c r="D638" s="52"/>
      <c r="E638" s="489"/>
      <c r="F638" s="37"/>
      <c r="G638" s="35"/>
      <c r="H638" s="258"/>
    </row>
    <row r="639" spans="1:8" ht="13.5" thickBot="1">
      <c r="A639" s="80" t="s">
        <v>112</v>
      </c>
      <c r="B639" s="548" t="str">
        <f>Planilha!C61</f>
        <v>PINTURA ACRÍLICA EM PAREDE, DUAS (2) DEMÃOS, EXCLUSIVE SELADOR ACRÍLICO E MASSA ACRÍLICA/CORRIDA (PVA)</v>
      </c>
      <c r="C639" s="549"/>
      <c r="D639" s="549"/>
      <c r="E639" s="550"/>
      <c r="F639" s="81">
        <f>G668</f>
        <v>604.6</v>
      </c>
      <c r="G639" s="80" t="s">
        <v>94</v>
      </c>
      <c r="H639" s="258"/>
    </row>
    <row r="640" spans="1:8" ht="12.75">
      <c r="A640" s="33"/>
      <c r="B640" s="62"/>
      <c r="C640" s="62"/>
      <c r="D640" s="34"/>
      <c r="E640" s="45"/>
      <c r="F640" s="34"/>
      <c r="G640" s="35"/>
      <c r="H640" s="258"/>
    </row>
    <row r="641" spans="1:8" ht="12.75">
      <c r="A641" s="486"/>
      <c r="B641" s="112" t="s">
        <v>20</v>
      </c>
      <c r="C641" s="112" t="s">
        <v>21</v>
      </c>
      <c r="D641" s="112" t="s">
        <v>26</v>
      </c>
      <c r="E641" s="112" t="s">
        <v>231</v>
      </c>
      <c r="F641" s="373" t="s">
        <v>276</v>
      </c>
      <c r="G641" s="237" t="s">
        <v>23</v>
      </c>
      <c r="H641" s="258"/>
    </row>
    <row r="642" spans="1:8" ht="12.75">
      <c r="A642" s="485"/>
      <c r="B642" s="104" t="s">
        <v>360</v>
      </c>
      <c r="C642" s="106">
        <v>2.45</v>
      </c>
      <c r="D642" s="106">
        <v>3.25</v>
      </c>
      <c r="E642" s="106">
        <v>1.2</v>
      </c>
      <c r="F642" s="257">
        <f>(C642+D642)*2</f>
        <v>11.4</v>
      </c>
      <c r="G642" s="108">
        <f>F642*E642</f>
        <v>13.68</v>
      </c>
      <c r="H642" s="258"/>
    </row>
    <row r="643" spans="1:8" ht="12.75">
      <c r="A643" s="485"/>
      <c r="B643" s="104" t="s">
        <v>424</v>
      </c>
      <c r="C643" s="106">
        <v>1.75</v>
      </c>
      <c r="D643" s="106">
        <v>3.25</v>
      </c>
      <c r="E643" s="106">
        <v>1.9</v>
      </c>
      <c r="F643" s="257">
        <f>(C643+D643)*2</f>
        <v>10</v>
      </c>
      <c r="G643" s="108">
        <f>F643*E643</f>
        <v>19</v>
      </c>
      <c r="H643" s="258"/>
    </row>
    <row r="644" spans="1:8" ht="12.75">
      <c r="A644" s="485"/>
      <c r="B644" s="92" t="s">
        <v>417</v>
      </c>
      <c r="C644" s="106">
        <v>1.8</v>
      </c>
      <c r="D644" s="106">
        <v>3.25</v>
      </c>
      <c r="E644" s="106">
        <v>1.9</v>
      </c>
      <c r="F644" s="257">
        <f>(C644+D644)*2</f>
        <v>10.1</v>
      </c>
      <c r="G644" s="108">
        <f>F644*E644</f>
        <v>19.19</v>
      </c>
      <c r="H644" s="258"/>
    </row>
    <row r="645" spans="1:8" ht="12.75">
      <c r="A645" s="485"/>
      <c r="B645" s="104" t="s">
        <v>425</v>
      </c>
      <c r="C645" s="106">
        <v>3.05</v>
      </c>
      <c r="D645" s="106">
        <v>3</v>
      </c>
      <c r="E645" s="106">
        <v>1.9</v>
      </c>
      <c r="F645" s="257">
        <f aca="true" t="shared" si="29" ref="F645:F651">(C645+D645)*2</f>
        <v>12.1</v>
      </c>
      <c r="G645" s="108">
        <f>F645*E645</f>
        <v>22.99</v>
      </c>
      <c r="H645" s="258"/>
    </row>
    <row r="646" spans="1:8" ht="12.75">
      <c r="A646" s="485"/>
      <c r="B646" s="104" t="s">
        <v>426</v>
      </c>
      <c r="C646" s="106">
        <v>1.38</v>
      </c>
      <c r="D646" s="106">
        <v>2</v>
      </c>
      <c r="E646" s="106">
        <v>1.2</v>
      </c>
      <c r="F646" s="257">
        <f t="shared" si="29"/>
        <v>6.76</v>
      </c>
      <c r="G646" s="108">
        <f aca="true" t="shared" si="30" ref="G646:G653">F646*E646</f>
        <v>8.11</v>
      </c>
      <c r="H646" s="258"/>
    </row>
    <row r="647" spans="1:8" ht="12.75">
      <c r="A647" s="485"/>
      <c r="B647" s="104" t="s">
        <v>272</v>
      </c>
      <c r="C647" s="106">
        <v>1.38</v>
      </c>
      <c r="D647" s="106">
        <v>2</v>
      </c>
      <c r="E647" s="106">
        <v>1.2</v>
      </c>
      <c r="F647" s="257">
        <f t="shared" si="29"/>
        <v>6.76</v>
      </c>
      <c r="G647" s="108">
        <f t="shared" si="30"/>
        <v>8.11</v>
      </c>
      <c r="H647" s="52"/>
    </row>
    <row r="648" spans="1:8" ht="12.75">
      <c r="A648" s="485"/>
      <c r="B648" s="92" t="s">
        <v>206</v>
      </c>
      <c r="C648" s="110">
        <v>2.6</v>
      </c>
      <c r="D648" s="106">
        <v>4.4</v>
      </c>
      <c r="E648" s="106">
        <v>3</v>
      </c>
      <c r="F648" s="257">
        <f t="shared" si="29"/>
        <v>14</v>
      </c>
      <c r="G648" s="108">
        <f t="shared" si="30"/>
        <v>42</v>
      </c>
      <c r="H648" s="52"/>
    </row>
    <row r="649" spans="1:8" ht="12.75">
      <c r="A649" s="485"/>
      <c r="B649" s="92" t="s">
        <v>413</v>
      </c>
      <c r="C649" s="110">
        <v>3.3</v>
      </c>
      <c r="D649" s="106">
        <v>1.35</v>
      </c>
      <c r="E649" s="106">
        <v>1.2</v>
      </c>
      <c r="F649" s="257">
        <f t="shared" si="29"/>
        <v>9.3</v>
      </c>
      <c r="G649" s="108">
        <f t="shared" si="30"/>
        <v>11.16</v>
      </c>
      <c r="H649" s="52"/>
    </row>
    <row r="650" spans="1:8" ht="12.75">
      <c r="A650" s="33"/>
      <c r="B650" s="92" t="s">
        <v>216</v>
      </c>
      <c r="C650" s="110">
        <v>3.1</v>
      </c>
      <c r="D650" s="106">
        <v>3.3</v>
      </c>
      <c r="E650" s="106">
        <v>1.9</v>
      </c>
      <c r="F650" s="257">
        <f t="shared" si="29"/>
        <v>12.8</v>
      </c>
      <c r="G650" s="108">
        <f t="shared" si="30"/>
        <v>24.32</v>
      </c>
      <c r="H650" s="52"/>
    </row>
    <row r="651" spans="1:7" ht="12.75">
      <c r="A651" s="33"/>
      <c r="B651" s="92" t="s">
        <v>427</v>
      </c>
      <c r="C651" s="110">
        <v>3.3</v>
      </c>
      <c r="D651" s="106">
        <v>2.6</v>
      </c>
      <c r="E651" s="106">
        <v>1.9</v>
      </c>
      <c r="F651" s="257">
        <f t="shared" si="29"/>
        <v>11.8</v>
      </c>
      <c r="G651" s="108">
        <f t="shared" si="30"/>
        <v>22.42</v>
      </c>
    </row>
    <row r="652" spans="1:7" ht="12.75">
      <c r="A652" s="33"/>
      <c r="B652" s="243" t="s">
        <v>207</v>
      </c>
      <c r="C652" s="110">
        <v>4.5</v>
      </c>
      <c r="D652" s="106">
        <v>2.6</v>
      </c>
      <c r="E652" s="106">
        <v>1.9</v>
      </c>
      <c r="F652" s="257">
        <f aca="true" t="shared" si="31" ref="F652:F658">(C652+D652)*2</f>
        <v>14.2</v>
      </c>
      <c r="G652" s="108">
        <f t="shared" si="30"/>
        <v>26.98</v>
      </c>
    </row>
    <row r="653" spans="1:7" ht="15" customHeight="1">
      <c r="A653" s="33"/>
      <c r="B653" s="243" t="s">
        <v>416</v>
      </c>
      <c r="C653" s="110">
        <v>1.3</v>
      </c>
      <c r="D653" s="106">
        <v>2.6</v>
      </c>
      <c r="E653" s="106">
        <v>1.2</v>
      </c>
      <c r="F653" s="257">
        <f t="shared" si="31"/>
        <v>7.8</v>
      </c>
      <c r="G653" s="108">
        <f t="shared" si="30"/>
        <v>9.36</v>
      </c>
    </row>
    <row r="654" spans="1:7" ht="12.75">
      <c r="A654" s="33"/>
      <c r="B654" s="243" t="s">
        <v>256</v>
      </c>
      <c r="C654" s="110">
        <v>3.35</v>
      </c>
      <c r="D654" s="106">
        <v>2.75</v>
      </c>
      <c r="E654" s="106">
        <v>1.9</v>
      </c>
      <c r="F654" s="257">
        <f>C654+D654</f>
        <v>6.1</v>
      </c>
      <c r="G654" s="108">
        <f>F654*E654+7.85</f>
        <v>19.44</v>
      </c>
    </row>
    <row r="655" spans="1:7" ht="12.75">
      <c r="A655" s="33"/>
      <c r="B655" s="92" t="s">
        <v>428</v>
      </c>
      <c r="C655" s="110">
        <v>3.05</v>
      </c>
      <c r="D655" s="106">
        <v>1.6</v>
      </c>
      <c r="E655" s="106">
        <v>1.9</v>
      </c>
      <c r="F655" s="257">
        <f t="shared" si="31"/>
        <v>9.3</v>
      </c>
      <c r="G655" s="108">
        <f>F655*E655</f>
        <v>17.67</v>
      </c>
    </row>
    <row r="656" spans="1:7" ht="12.75">
      <c r="A656" s="33"/>
      <c r="B656" s="92" t="s">
        <v>429</v>
      </c>
      <c r="C656" s="110">
        <v>3.05</v>
      </c>
      <c r="D656" s="106">
        <v>2.4</v>
      </c>
      <c r="E656" s="106">
        <v>1.9</v>
      </c>
      <c r="F656" s="257">
        <f t="shared" si="31"/>
        <v>10.9</v>
      </c>
      <c r="G656" s="108">
        <f>(F656*E656)-4.56</f>
        <v>16.15</v>
      </c>
    </row>
    <row r="657" spans="1:7" ht="12.75">
      <c r="A657" s="33"/>
      <c r="B657" s="92" t="s">
        <v>205</v>
      </c>
      <c r="C657" s="110">
        <v>3.6</v>
      </c>
      <c r="D657" s="106">
        <v>4.15</v>
      </c>
      <c r="E657" s="106">
        <v>1.9</v>
      </c>
      <c r="F657" s="257">
        <f t="shared" si="31"/>
        <v>15.5</v>
      </c>
      <c r="G657" s="108">
        <f aca="true" t="shared" si="32" ref="G657:G665">F657*E657</f>
        <v>29.45</v>
      </c>
    </row>
    <row r="658" spans="1:7" ht="12.75">
      <c r="A658" s="33"/>
      <c r="B658" s="92" t="s">
        <v>280</v>
      </c>
      <c r="C658" s="110">
        <v>1.2</v>
      </c>
      <c r="D658" s="106">
        <v>1.2</v>
      </c>
      <c r="E658" s="106">
        <v>1.9</v>
      </c>
      <c r="F658" s="257">
        <f t="shared" si="31"/>
        <v>4.8</v>
      </c>
      <c r="G658" s="108">
        <f t="shared" si="32"/>
        <v>9.12</v>
      </c>
    </row>
    <row r="659" spans="1:7" ht="12.75">
      <c r="A659" s="33"/>
      <c r="B659" s="92" t="s">
        <v>430</v>
      </c>
      <c r="C659" s="110">
        <v>2.05</v>
      </c>
      <c r="D659" s="106">
        <v>1.7</v>
      </c>
      <c r="E659" s="106">
        <v>1.9</v>
      </c>
      <c r="F659" s="257">
        <f>C659+(D659*2)</f>
        <v>5.45</v>
      </c>
      <c r="G659" s="108">
        <f t="shared" si="32"/>
        <v>10.36</v>
      </c>
    </row>
    <row r="660" spans="1:7" ht="12.75">
      <c r="A660" s="33"/>
      <c r="B660" s="92" t="s">
        <v>359</v>
      </c>
      <c r="C660" s="110">
        <v>2.05</v>
      </c>
      <c r="D660" s="106">
        <v>2.3</v>
      </c>
      <c r="E660" s="106">
        <v>1.9</v>
      </c>
      <c r="F660" s="257">
        <f>C660+(D660*2)</f>
        <v>6.65</v>
      </c>
      <c r="G660" s="108">
        <f t="shared" si="32"/>
        <v>12.64</v>
      </c>
    </row>
    <row r="661" spans="1:7" ht="12.75">
      <c r="A661" s="33"/>
      <c r="B661" s="92" t="s">
        <v>431</v>
      </c>
      <c r="C661" s="110">
        <v>9.15</v>
      </c>
      <c r="D661" s="106">
        <v>1.2</v>
      </c>
      <c r="E661" s="106">
        <v>1.9</v>
      </c>
      <c r="F661" s="257">
        <f>C661*2+(D661)</f>
        <v>19.5</v>
      </c>
      <c r="G661" s="108">
        <f t="shared" si="32"/>
        <v>37.05</v>
      </c>
    </row>
    <row r="662" spans="1:7" ht="12.75">
      <c r="A662" s="33"/>
      <c r="B662" s="92" t="s">
        <v>432</v>
      </c>
      <c r="C662" s="110">
        <v>3.35</v>
      </c>
      <c r="D662" s="106">
        <v>2.75</v>
      </c>
      <c r="E662" s="106">
        <v>1.9</v>
      </c>
      <c r="F662" s="244">
        <f>C662+D662</f>
        <v>6.1</v>
      </c>
      <c r="G662" s="108">
        <f t="shared" si="32"/>
        <v>11.59</v>
      </c>
    </row>
    <row r="663" spans="1:7" ht="12.75">
      <c r="A663" s="33"/>
      <c r="B663" s="92" t="s">
        <v>433</v>
      </c>
      <c r="C663" s="110">
        <v>1.25</v>
      </c>
      <c r="D663" s="106">
        <v>2.9</v>
      </c>
      <c r="E663" s="106">
        <v>1.9</v>
      </c>
      <c r="F663" s="206">
        <f>(C663*2)+E663</f>
        <v>4.4</v>
      </c>
      <c r="G663" s="108">
        <f t="shared" si="32"/>
        <v>8.36</v>
      </c>
    </row>
    <row r="664" spans="1:7" ht="12.75">
      <c r="A664" s="33"/>
      <c r="B664" s="92" t="s">
        <v>434</v>
      </c>
      <c r="C664" s="110">
        <v>2.9</v>
      </c>
      <c r="D664" s="106">
        <v>1.6</v>
      </c>
      <c r="E664" s="106">
        <v>1.9</v>
      </c>
      <c r="F664" s="206">
        <f>(C664*2)+D664</f>
        <v>7.4</v>
      </c>
      <c r="G664" s="108">
        <f t="shared" si="32"/>
        <v>14.06</v>
      </c>
    </row>
    <row r="665" spans="1:7" ht="12.75">
      <c r="A665" s="33"/>
      <c r="B665" s="92" t="s">
        <v>361</v>
      </c>
      <c r="C665" s="110">
        <v>3.35</v>
      </c>
      <c r="D665" s="106">
        <v>2.75</v>
      </c>
      <c r="E665" s="106">
        <v>1.9</v>
      </c>
      <c r="F665" s="206">
        <f>C665+(D665*2)+1.55</f>
        <v>10.4</v>
      </c>
      <c r="G665" s="108">
        <f t="shared" si="32"/>
        <v>19.76</v>
      </c>
    </row>
    <row r="666" spans="1:7" ht="12.75">
      <c r="A666" s="33"/>
      <c r="B666" s="206" t="s">
        <v>440</v>
      </c>
      <c r="C666" s="244">
        <v>22.35</v>
      </c>
      <c r="D666" s="493">
        <v>9.2</v>
      </c>
      <c r="E666" s="257">
        <v>2.62</v>
      </c>
      <c r="F666" s="206">
        <f>(C666+D666)*2</f>
        <v>63.1</v>
      </c>
      <c r="G666" s="494">
        <f>F666*E666</f>
        <v>165.32</v>
      </c>
    </row>
    <row r="667" spans="1:7" ht="13.5" thickBot="1">
      <c r="A667" s="33"/>
      <c r="B667" s="92" t="s">
        <v>278</v>
      </c>
      <c r="C667" s="110">
        <v>9.2</v>
      </c>
      <c r="D667" s="110"/>
      <c r="E667" s="106">
        <v>1.38</v>
      </c>
      <c r="F667" s="207">
        <f>C667</f>
        <v>9.2</v>
      </c>
      <c r="G667" s="542">
        <v>6.34</v>
      </c>
    </row>
    <row r="668" spans="1:7" ht="13.5" thickBot="1">
      <c r="A668" s="33"/>
      <c r="B668" s="45"/>
      <c r="C668" s="45"/>
      <c r="D668" s="349"/>
      <c r="E668" s="350"/>
      <c r="F668" s="78" t="s">
        <v>2</v>
      </c>
      <c r="G668" s="352">
        <f>SUM(G642:G667)</f>
        <v>604.6</v>
      </c>
    </row>
    <row r="669" spans="1:7" ht="13.5" thickBot="1">
      <c r="A669" s="33"/>
      <c r="B669" s="34"/>
      <c r="C669" s="34"/>
      <c r="D669" s="246"/>
      <c r="E669" s="52"/>
      <c r="F669" s="489"/>
      <c r="G669" s="267"/>
    </row>
    <row r="670" spans="1:7" ht="13.5" thickBot="1">
      <c r="A670" s="80" t="s">
        <v>386</v>
      </c>
      <c r="B670" s="580" t="str">
        <f>Planilha!C62</f>
        <v>PINTURA ESMALTE EM SUPERFÍCIE DE CONCRETO/ALVENARIA, DUAS (2) DEMÃOS, EXCLUSIVE SELADOR ACRÍLICO E MASSA ACRÍLICA/CORRIDA (PVA)</v>
      </c>
      <c r="C670" s="581"/>
      <c r="D670" s="581"/>
      <c r="E670" s="582"/>
      <c r="F670" s="81">
        <f>G694</f>
        <v>345.9</v>
      </c>
      <c r="G670" s="80" t="s">
        <v>19</v>
      </c>
    </row>
    <row r="671" spans="1:7" ht="12.75">
      <c r="A671" s="485"/>
      <c r="B671" s="34"/>
      <c r="C671" s="34"/>
      <c r="D671" s="34"/>
      <c r="E671" s="45"/>
      <c r="F671" s="34"/>
      <c r="G671" s="32"/>
    </row>
    <row r="672" spans="1:7" ht="12.75">
      <c r="A672" s="485"/>
      <c r="B672" s="112" t="s">
        <v>20</v>
      </c>
      <c r="C672" s="112" t="s">
        <v>21</v>
      </c>
      <c r="D672" s="112" t="s">
        <v>26</v>
      </c>
      <c r="E672" s="112" t="s">
        <v>231</v>
      </c>
      <c r="F672" s="373" t="s">
        <v>276</v>
      </c>
      <c r="G672" s="237" t="s">
        <v>23</v>
      </c>
    </row>
    <row r="673" spans="1:7" ht="12.75">
      <c r="A673" s="485"/>
      <c r="B673" s="104" t="s">
        <v>424</v>
      </c>
      <c r="C673" s="106">
        <v>1.75</v>
      </c>
      <c r="D673" s="106">
        <v>3.25</v>
      </c>
      <c r="E673" s="106">
        <v>1.1</v>
      </c>
      <c r="F673" s="257">
        <f aca="true" t="shared" si="33" ref="F673:F684">(C673+D673)*2</f>
        <v>10</v>
      </c>
      <c r="G673" s="108">
        <f>F673*E673</f>
        <v>11</v>
      </c>
    </row>
    <row r="674" spans="1:7" ht="12.75">
      <c r="A674" s="485"/>
      <c r="B674" s="92" t="s">
        <v>417</v>
      </c>
      <c r="C674" s="106">
        <v>1.8</v>
      </c>
      <c r="D674" s="106">
        <v>3.25</v>
      </c>
      <c r="E674" s="106">
        <v>1.1</v>
      </c>
      <c r="F674" s="257">
        <f t="shared" si="33"/>
        <v>10.1</v>
      </c>
      <c r="G674" s="108">
        <f>F674*E674</f>
        <v>11.11</v>
      </c>
    </row>
    <row r="675" spans="1:7" ht="16.5" customHeight="1">
      <c r="A675" s="485"/>
      <c r="B675" s="104" t="s">
        <v>425</v>
      </c>
      <c r="C675" s="106">
        <v>3.05</v>
      </c>
      <c r="D675" s="106">
        <v>3</v>
      </c>
      <c r="E675" s="106">
        <v>1.1</v>
      </c>
      <c r="F675" s="257">
        <f t="shared" si="33"/>
        <v>12.1</v>
      </c>
      <c r="G675" s="108">
        <f>F675*E675</f>
        <v>13.31</v>
      </c>
    </row>
    <row r="676" spans="1:7" ht="12.75">
      <c r="A676" s="485"/>
      <c r="B676" s="92" t="s">
        <v>206</v>
      </c>
      <c r="C676" s="110">
        <v>2.6</v>
      </c>
      <c r="D676" s="106">
        <v>4.4</v>
      </c>
      <c r="E676" s="106">
        <v>1.1</v>
      </c>
      <c r="F676" s="257">
        <f t="shared" si="33"/>
        <v>14</v>
      </c>
      <c r="G676" s="108">
        <f aca="true" t="shared" si="34" ref="G676:G693">F676*E676</f>
        <v>15.4</v>
      </c>
    </row>
    <row r="677" spans="1:7" ht="13.5" thickBot="1">
      <c r="A677" s="485"/>
      <c r="B677" s="92" t="s">
        <v>216</v>
      </c>
      <c r="C677" s="110">
        <v>3.1</v>
      </c>
      <c r="D677" s="106">
        <v>3.3</v>
      </c>
      <c r="E677" s="106">
        <v>1.1</v>
      </c>
      <c r="F677" s="257">
        <f t="shared" si="33"/>
        <v>12.8</v>
      </c>
      <c r="G677" s="108">
        <f t="shared" si="34"/>
        <v>14.08</v>
      </c>
    </row>
    <row r="678" spans="1:11" ht="13.5" thickBot="1">
      <c r="A678" s="485"/>
      <c r="B678" s="92" t="s">
        <v>427</v>
      </c>
      <c r="C678" s="110">
        <v>3.3</v>
      </c>
      <c r="D678" s="106">
        <v>2.6</v>
      </c>
      <c r="E678" s="106">
        <v>1.1</v>
      </c>
      <c r="F678" s="257">
        <f t="shared" si="33"/>
        <v>11.8</v>
      </c>
      <c r="G678" s="108">
        <f t="shared" si="34"/>
        <v>12.98</v>
      </c>
      <c r="K678" s="278"/>
    </row>
    <row r="679" spans="1:7" ht="12.75">
      <c r="A679" s="485"/>
      <c r="B679" s="243" t="s">
        <v>207</v>
      </c>
      <c r="C679" s="110">
        <v>4.5</v>
      </c>
      <c r="D679" s="106">
        <v>2.6</v>
      </c>
      <c r="E679" s="106">
        <v>1.1</v>
      </c>
      <c r="F679" s="257">
        <f t="shared" si="33"/>
        <v>14.2</v>
      </c>
      <c r="G679" s="108">
        <f t="shared" si="34"/>
        <v>15.62</v>
      </c>
    </row>
    <row r="680" spans="1:7" ht="12.75">
      <c r="A680" s="485"/>
      <c r="B680" s="243" t="s">
        <v>256</v>
      </c>
      <c r="C680" s="110">
        <v>3.35</v>
      </c>
      <c r="D680" s="106">
        <v>2.75</v>
      </c>
      <c r="E680" s="106">
        <v>1.1</v>
      </c>
      <c r="F680" s="257">
        <f t="shared" si="33"/>
        <v>12.2</v>
      </c>
      <c r="G680" s="108">
        <f t="shared" si="34"/>
        <v>13.42</v>
      </c>
    </row>
    <row r="681" spans="1:7" ht="12.75">
      <c r="A681" s="485"/>
      <c r="B681" s="92" t="s">
        <v>428</v>
      </c>
      <c r="C681" s="110">
        <v>3.05</v>
      </c>
      <c r="D681" s="106">
        <v>1.6</v>
      </c>
      <c r="E681" s="106">
        <v>1.1</v>
      </c>
      <c r="F681" s="257">
        <f t="shared" si="33"/>
        <v>9.3</v>
      </c>
      <c r="G681" s="108">
        <f t="shared" si="34"/>
        <v>10.23</v>
      </c>
    </row>
    <row r="682" spans="1:7" ht="12.75">
      <c r="A682" s="485"/>
      <c r="B682" s="92" t="s">
        <v>429</v>
      </c>
      <c r="C682" s="110">
        <v>3.05</v>
      </c>
      <c r="D682" s="106">
        <v>2.4</v>
      </c>
      <c r="E682" s="106">
        <v>1.1</v>
      </c>
      <c r="F682" s="257">
        <f t="shared" si="33"/>
        <v>10.9</v>
      </c>
      <c r="G682" s="108">
        <f t="shared" si="34"/>
        <v>11.99</v>
      </c>
    </row>
    <row r="683" spans="1:16" ht="12.75">
      <c r="A683" s="485"/>
      <c r="B683" s="92" t="s">
        <v>205</v>
      </c>
      <c r="C683" s="110">
        <v>3.6</v>
      </c>
      <c r="D683" s="106">
        <v>4.15</v>
      </c>
      <c r="E683" s="106">
        <v>1.1</v>
      </c>
      <c r="F683" s="257">
        <f t="shared" si="33"/>
        <v>15.5</v>
      </c>
      <c r="G683" s="108">
        <f t="shared" si="34"/>
        <v>17.05</v>
      </c>
      <c r="K683" s="199"/>
      <c r="L683" s="199"/>
      <c r="N683" s="199"/>
      <c r="O683" s="199"/>
      <c r="P683" s="199"/>
    </row>
    <row r="684" spans="1:16" ht="12.75">
      <c r="A684" s="485"/>
      <c r="B684" s="92" t="s">
        <v>280</v>
      </c>
      <c r="C684" s="110">
        <v>1.2</v>
      </c>
      <c r="D684" s="106">
        <v>1.2</v>
      </c>
      <c r="E684" s="106">
        <v>1.1</v>
      </c>
      <c r="F684" s="257">
        <f t="shared" si="33"/>
        <v>4.8</v>
      </c>
      <c r="G684" s="108">
        <f t="shared" si="34"/>
        <v>5.28</v>
      </c>
      <c r="K684" s="199"/>
      <c r="L684" s="199"/>
      <c r="N684" s="199"/>
      <c r="O684" s="199"/>
      <c r="P684" s="199"/>
    </row>
    <row r="685" spans="1:13" ht="12.75">
      <c r="A685" s="485"/>
      <c r="B685" s="92" t="s">
        <v>430</v>
      </c>
      <c r="C685" s="110">
        <v>2.05</v>
      </c>
      <c r="D685" s="106">
        <v>1.7</v>
      </c>
      <c r="E685" s="106">
        <v>1.1</v>
      </c>
      <c r="F685" s="257">
        <f>C685+(D685*2)</f>
        <v>5.45</v>
      </c>
      <c r="G685" s="108">
        <f t="shared" si="34"/>
        <v>6</v>
      </c>
      <c r="M685" s="199"/>
    </row>
    <row r="686" spans="1:13" ht="12.75">
      <c r="A686" s="485"/>
      <c r="B686" s="92" t="s">
        <v>359</v>
      </c>
      <c r="C686" s="110">
        <v>2.05</v>
      </c>
      <c r="D686" s="106">
        <v>2.3</v>
      </c>
      <c r="E686" s="106">
        <v>1.1</v>
      </c>
      <c r="F686" s="257">
        <f>C686+(D686*2)</f>
        <v>6.65</v>
      </c>
      <c r="G686" s="108">
        <f t="shared" si="34"/>
        <v>7.32</v>
      </c>
      <c r="M686" s="199"/>
    </row>
    <row r="687" spans="1:16" ht="12.75">
      <c r="A687" s="485"/>
      <c r="B687" s="92" t="s">
        <v>431</v>
      </c>
      <c r="C687" s="110">
        <v>9.15</v>
      </c>
      <c r="D687" s="106">
        <v>1.2</v>
      </c>
      <c r="E687" s="106">
        <v>1.1</v>
      </c>
      <c r="F687" s="257">
        <f>C687*2+(D687)</f>
        <v>19.5</v>
      </c>
      <c r="G687" s="108">
        <f t="shared" si="34"/>
        <v>21.45</v>
      </c>
      <c r="K687" s="199"/>
      <c r="L687" s="199"/>
      <c r="N687" s="199"/>
      <c r="O687" s="199"/>
      <c r="P687" s="199"/>
    </row>
    <row r="688" spans="1:7" ht="12.75">
      <c r="A688" s="485"/>
      <c r="B688" s="92" t="s">
        <v>432</v>
      </c>
      <c r="C688" s="110">
        <v>3.35</v>
      </c>
      <c r="D688" s="106">
        <v>2.75</v>
      </c>
      <c r="E688" s="106">
        <v>1.1</v>
      </c>
      <c r="F688" s="244">
        <f>C688+D688</f>
        <v>6.1</v>
      </c>
      <c r="G688" s="108">
        <f t="shared" si="34"/>
        <v>6.71</v>
      </c>
    </row>
    <row r="689" spans="1:13" ht="12.75">
      <c r="A689" s="485"/>
      <c r="B689" s="92" t="s">
        <v>433</v>
      </c>
      <c r="C689" s="110">
        <v>1.25</v>
      </c>
      <c r="D689" s="106">
        <v>2.9</v>
      </c>
      <c r="E689" s="106">
        <v>1.1</v>
      </c>
      <c r="F689" s="206">
        <f>(C689*2)+E689</f>
        <v>3.6</v>
      </c>
      <c r="G689" s="108">
        <f t="shared" si="34"/>
        <v>3.96</v>
      </c>
      <c r="M689" s="199"/>
    </row>
    <row r="690" spans="1:7" ht="12.75">
      <c r="A690" s="485"/>
      <c r="B690" s="92" t="s">
        <v>434</v>
      </c>
      <c r="C690" s="110">
        <v>2.9</v>
      </c>
      <c r="D690" s="106">
        <v>1.6</v>
      </c>
      <c r="E690" s="106">
        <v>1.1</v>
      </c>
      <c r="F690" s="206">
        <f>(C690*2)+D690+1</f>
        <v>8.4</v>
      </c>
      <c r="G690" s="108">
        <f t="shared" si="34"/>
        <v>9.24</v>
      </c>
    </row>
    <row r="691" spans="1:7" ht="12.75">
      <c r="A691" s="485"/>
      <c r="B691" s="92" t="s">
        <v>361</v>
      </c>
      <c r="C691" s="110">
        <v>3.35</v>
      </c>
      <c r="D691" s="106">
        <v>2.75</v>
      </c>
      <c r="E691" s="106">
        <v>1.1</v>
      </c>
      <c r="F691" s="206">
        <f>C691+(D691*2)+1.55</f>
        <v>10.4</v>
      </c>
      <c r="G691" s="108">
        <f t="shared" si="34"/>
        <v>11.44</v>
      </c>
    </row>
    <row r="692" spans="1:7" ht="12.75">
      <c r="A692" s="485"/>
      <c r="B692" s="206" t="s">
        <v>440</v>
      </c>
      <c r="C692" s="244">
        <v>22.35</v>
      </c>
      <c r="D692" s="493">
        <v>9.2</v>
      </c>
      <c r="E692" s="257">
        <v>1.1</v>
      </c>
      <c r="F692" s="206">
        <f>(C692+D692)*2</f>
        <v>63.1</v>
      </c>
      <c r="G692" s="494">
        <f t="shared" si="34"/>
        <v>69.41</v>
      </c>
    </row>
    <row r="693" spans="1:16" ht="12.75">
      <c r="A693" s="485"/>
      <c r="B693" s="92" t="s">
        <v>277</v>
      </c>
      <c r="C693" s="110">
        <v>26.75</v>
      </c>
      <c r="D693" s="110"/>
      <c r="E693" s="106">
        <v>1.1</v>
      </c>
      <c r="F693" s="244">
        <f>C693*2</f>
        <v>53.5</v>
      </c>
      <c r="G693" s="108">
        <f t="shared" si="34"/>
        <v>58.85</v>
      </c>
      <c r="K693" s="199"/>
      <c r="L693" s="199"/>
      <c r="N693" s="199"/>
      <c r="O693" s="199"/>
      <c r="P693" s="199"/>
    </row>
    <row r="694" spans="1:7" ht="13.5" thickBot="1">
      <c r="A694" s="485"/>
      <c r="B694" s="45"/>
      <c r="C694" s="45"/>
      <c r="D694" s="349"/>
      <c r="E694" s="350"/>
      <c r="F694" s="361" t="s">
        <v>2</v>
      </c>
      <c r="G694" s="391">
        <f>SUM(G673:G693)</f>
        <v>345.9</v>
      </c>
    </row>
    <row r="695" spans="1:13" ht="13.5" thickBot="1">
      <c r="A695" s="33"/>
      <c r="B695" s="34"/>
      <c r="C695" s="34"/>
      <c r="D695" s="246"/>
      <c r="E695" s="52"/>
      <c r="F695" s="489"/>
      <c r="G695" s="241"/>
      <c r="M695" s="199"/>
    </row>
    <row r="696" spans="1:7" ht="13.5" thickBot="1">
      <c r="A696" s="80" t="s">
        <v>387</v>
      </c>
      <c r="B696" s="548" t="str">
        <f>Planilha!C63</f>
        <v>LIXAMENTO MANUAL EM SUPERFÍCIE METÁLICA PARA REMOÇÃO DE TINTA</v>
      </c>
      <c r="C696" s="549"/>
      <c r="D696" s="549"/>
      <c r="E696" s="550"/>
      <c r="F696" s="81">
        <f>F714</f>
        <v>75.44</v>
      </c>
      <c r="G696" s="80" t="s">
        <v>94</v>
      </c>
    </row>
    <row r="697" spans="1:7" ht="12.75">
      <c r="A697" s="54"/>
      <c r="B697" s="34"/>
      <c r="C697" s="34"/>
      <c r="D697" s="34"/>
      <c r="E697" s="45"/>
      <c r="F697" s="52"/>
      <c r="G697" s="63"/>
    </row>
    <row r="698" spans="1:7" ht="12.75">
      <c r="A698" s="58"/>
      <c r="B698" s="568" t="s">
        <v>30</v>
      </c>
      <c r="C698" s="569"/>
      <c r="D698" s="569"/>
      <c r="E698" s="569"/>
      <c r="F698" s="569"/>
      <c r="G698" s="570"/>
    </row>
    <row r="699" spans="1:7" ht="12.75">
      <c r="A699" s="33"/>
      <c r="B699" s="112" t="s">
        <v>20</v>
      </c>
      <c r="C699" s="112" t="s">
        <v>21</v>
      </c>
      <c r="D699" s="112" t="s">
        <v>26</v>
      </c>
      <c r="E699" s="112" t="s">
        <v>24</v>
      </c>
      <c r="F699" s="112" t="s">
        <v>23</v>
      </c>
      <c r="G699" s="94"/>
    </row>
    <row r="700" spans="1:7" ht="12.75">
      <c r="A700" s="33"/>
      <c r="B700" s="104" t="s">
        <v>208</v>
      </c>
      <c r="C700" s="106">
        <v>1.4</v>
      </c>
      <c r="D700" s="106">
        <v>1.2</v>
      </c>
      <c r="E700" s="106">
        <v>1</v>
      </c>
      <c r="F700" s="106">
        <f>(C700*D700*E700)*2</f>
        <v>3.36</v>
      </c>
      <c r="G700" s="94"/>
    </row>
    <row r="701" spans="1:7" ht="12.75">
      <c r="A701" s="33"/>
      <c r="B701" s="104" t="s">
        <v>211</v>
      </c>
      <c r="C701" s="106">
        <v>1.4</v>
      </c>
      <c r="D701" s="106">
        <v>1.2</v>
      </c>
      <c r="E701" s="106">
        <v>1</v>
      </c>
      <c r="F701" s="106">
        <f aca="true" t="shared" si="35" ref="F701:F713">(C701*D701*E701)*2</f>
        <v>3.36</v>
      </c>
      <c r="G701" s="94"/>
    </row>
    <row r="702" spans="1:7" ht="12.75">
      <c r="A702" s="33"/>
      <c r="B702" s="92" t="s">
        <v>417</v>
      </c>
      <c r="C702" s="106">
        <v>1.4</v>
      </c>
      <c r="D702" s="106">
        <v>1.2</v>
      </c>
      <c r="E702" s="106">
        <v>1</v>
      </c>
      <c r="F702" s="106">
        <f t="shared" si="35"/>
        <v>3.36</v>
      </c>
      <c r="G702" s="94"/>
    </row>
    <row r="703" spans="1:7" ht="12.75">
      <c r="A703" s="33"/>
      <c r="B703" s="104" t="s">
        <v>221</v>
      </c>
      <c r="C703" s="106">
        <v>1.4</v>
      </c>
      <c r="D703" s="106">
        <v>1.2</v>
      </c>
      <c r="E703" s="106">
        <v>1</v>
      </c>
      <c r="F703" s="106">
        <f t="shared" si="35"/>
        <v>3.36</v>
      </c>
      <c r="G703" s="94"/>
    </row>
    <row r="704" spans="1:7" ht="12.75">
      <c r="A704" s="33"/>
      <c r="B704" s="92" t="s">
        <v>206</v>
      </c>
      <c r="C704" s="110">
        <v>1.4</v>
      </c>
      <c r="D704" s="92">
        <v>1.2</v>
      </c>
      <c r="E704" s="106">
        <v>1</v>
      </c>
      <c r="F704" s="106">
        <f t="shared" si="35"/>
        <v>3.36</v>
      </c>
      <c r="G704" s="94"/>
    </row>
    <row r="705" spans="1:7" ht="12.75">
      <c r="A705" s="33"/>
      <c r="B705" s="92" t="s">
        <v>413</v>
      </c>
      <c r="C705" s="110">
        <v>1</v>
      </c>
      <c r="D705" s="92">
        <v>0.6</v>
      </c>
      <c r="E705" s="106">
        <v>1</v>
      </c>
      <c r="F705" s="106">
        <f t="shared" si="35"/>
        <v>1.2</v>
      </c>
      <c r="G705" s="94"/>
    </row>
    <row r="706" spans="1:7" ht="12.75">
      <c r="A706" s="33"/>
      <c r="B706" s="92" t="s">
        <v>214</v>
      </c>
      <c r="C706" s="110">
        <v>1.4</v>
      </c>
      <c r="D706" s="92">
        <v>1.2</v>
      </c>
      <c r="E706" s="106">
        <v>1</v>
      </c>
      <c r="F706" s="106">
        <f t="shared" si="35"/>
        <v>3.36</v>
      </c>
      <c r="G706" s="94"/>
    </row>
    <row r="707" spans="1:7" ht="12.75">
      <c r="A707" s="33"/>
      <c r="B707" s="92" t="s">
        <v>207</v>
      </c>
      <c r="C707" s="110">
        <v>1.4</v>
      </c>
      <c r="D707" s="92">
        <v>1.2</v>
      </c>
      <c r="E707" s="106">
        <v>1</v>
      </c>
      <c r="F707" s="106">
        <f t="shared" si="35"/>
        <v>3.36</v>
      </c>
      <c r="G707" s="94"/>
    </row>
    <row r="708" spans="1:7" ht="12.75">
      <c r="A708" s="33"/>
      <c r="B708" s="92" t="s">
        <v>416</v>
      </c>
      <c r="C708" s="110">
        <v>1</v>
      </c>
      <c r="D708" s="92">
        <v>0.6</v>
      </c>
      <c r="E708" s="106">
        <v>1</v>
      </c>
      <c r="F708" s="106">
        <f t="shared" si="35"/>
        <v>1.2</v>
      </c>
      <c r="G708" s="94"/>
    </row>
    <row r="709" spans="1:10" ht="12.75">
      <c r="A709" s="33"/>
      <c r="B709" s="92" t="s">
        <v>257</v>
      </c>
      <c r="C709" s="110">
        <v>1</v>
      </c>
      <c r="D709" s="92">
        <v>0.6</v>
      </c>
      <c r="E709" s="106">
        <v>2</v>
      </c>
      <c r="F709" s="106">
        <f t="shared" si="35"/>
        <v>2.4</v>
      </c>
      <c r="G709" s="94"/>
      <c r="J709" s="199"/>
    </row>
    <row r="710" spans="1:10" ht="12.75">
      <c r="A710" s="33"/>
      <c r="B710" s="92" t="s">
        <v>205</v>
      </c>
      <c r="C710" s="110">
        <v>1.4</v>
      </c>
      <c r="D710" s="92">
        <v>1.2</v>
      </c>
      <c r="E710" s="106">
        <v>1</v>
      </c>
      <c r="F710" s="106">
        <f t="shared" si="35"/>
        <v>3.36</v>
      </c>
      <c r="G710" s="94"/>
      <c r="J710" s="199"/>
    </row>
    <row r="711" spans="1:7" ht="12.75">
      <c r="A711" s="33"/>
      <c r="B711" s="86" t="s">
        <v>252</v>
      </c>
      <c r="C711" s="204">
        <v>1</v>
      </c>
      <c r="D711" s="86">
        <v>0.6</v>
      </c>
      <c r="E711" s="106">
        <v>1</v>
      </c>
      <c r="F711" s="106">
        <f t="shared" si="35"/>
        <v>1.2</v>
      </c>
      <c r="G711" s="94"/>
    </row>
    <row r="712" spans="1:7" ht="12.75">
      <c r="A712" s="33"/>
      <c r="B712" s="92" t="s">
        <v>256</v>
      </c>
      <c r="C712" s="110">
        <v>1.4</v>
      </c>
      <c r="D712" s="92">
        <v>1.2</v>
      </c>
      <c r="E712" s="106">
        <v>1</v>
      </c>
      <c r="F712" s="106">
        <f t="shared" si="35"/>
        <v>3.36</v>
      </c>
      <c r="G712" s="94"/>
    </row>
    <row r="713" spans="1:10" ht="13.5" thickBot="1">
      <c r="A713" s="33"/>
      <c r="B713" s="104" t="s">
        <v>316</v>
      </c>
      <c r="C713" s="110">
        <v>24.5</v>
      </c>
      <c r="D713" s="315">
        <v>0.8</v>
      </c>
      <c r="E713" s="316">
        <v>1</v>
      </c>
      <c r="F713" s="106">
        <f t="shared" si="35"/>
        <v>39.2</v>
      </c>
      <c r="G713" s="94"/>
      <c r="J713" s="199"/>
    </row>
    <row r="714" spans="1:7" ht="13.5" thickBot="1">
      <c r="A714" s="33"/>
      <c r="B714" s="45"/>
      <c r="C714" s="50"/>
      <c r="D714" s="50"/>
      <c r="E714" s="195" t="s">
        <v>2</v>
      </c>
      <c r="F714" s="205">
        <f>SUM(F700:F713)</f>
        <v>75.44</v>
      </c>
      <c r="G714" s="94"/>
    </row>
    <row r="715" spans="1:7" ht="13.5" thickBot="1">
      <c r="A715" s="33"/>
      <c r="B715" s="45"/>
      <c r="C715" s="50"/>
      <c r="D715" s="50"/>
      <c r="E715" s="489"/>
      <c r="F715" s="37"/>
      <c r="G715" s="317"/>
    </row>
    <row r="716" spans="1:7" ht="13.5" thickBot="1">
      <c r="A716" s="80" t="s">
        <v>475</v>
      </c>
      <c r="B716" s="548" t="str">
        <f>Planilha!C64</f>
        <v>PINTURA ESMALTE EM ESQUADRIAS DE FERRO, DUAS (2) DEMÃOS, INCLUSIVE UMA (1) DEMÃO DE FUNDO ANTICORROSIVO</v>
      </c>
      <c r="C716" s="549"/>
      <c r="D716" s="549"/>
      <c r="E716" s="550"/>
      <c r="F716" s="81">
        <f>F736</f>
        <v>41.04</v>
      </c>
      <c r="G716" s="80" t="s">
        <v>94</v>
      </c>
    </row>
    <row r="717" spans="1:17" ht="12.75">
      <c r="A717" s="485"/>
      <c r="B717" s="34"/>
      <c r="C717" s="34"/>
      <c r="D717" s="34"/>
      <c r="E717" s="45"/>
      <c r="F717" s="489"/>
      <c r="G717" s="268"/>
      <c r="Q717" s="199"/>
    </row>
    <row r="718" spans="1:17" ht="12.75">
      <c r="A718" s="485"/>
      <c r="B718" s="112" t="s">
        <v>20</v>
      </c>
      <c r="C718" s="112" t="s">
        <v>21</v>
      </c>
      <c r="D718" s="112" t="s">
        <v>22</v>
      </c>
      <c r="E718" s="112" t="s">
        <v>24</v>
      </c>
      <c r="F718" s="112" t="s">
        <v>23</v>
      </c>
      <c r="G718" s="241"/>
      <c r="Q718" s="199"/>
    </row>
    <row r="719" spans="1:10" ht="12.75">
      <c r="A719" s="485"/>
      <c r="B719" s="104" t="s">
        <v>208</v>
      </c>
      <c r="C719" s="106">
        <v>1.4</v>
      </c>
      <c r="D719" s="106">
        <v>1.2</v>
      </c>
      <c r="E719" s="106">
        <v>1</v>
      </c>
      <c r="F719" s="106">
        <f>(C719*D719*E719)*2</f>
        <v>3.36</v>
      </c>
      <c r="G719" s="241"/>
      <c r="J719" s="199"/>
    </row>
    <row r="720" spans="1:7" ht="12.75">
      <c r="A720" s="485"/>
      <c r="B720" s="104" t="s">
        <v>211</v>
      </c>
      <c r="C720" s="106">
        <v>1.4</v>
      </c>
      <c r="D720" s="106">
        <v>1.2</v>
      </c>
      <c r="E720" s="106">
        <v>1</v>
      </c>
      <c r="F720" s="106">
        <f aca="true" t="shared" si="36" ref="F720:F735">(C720*D720*E720)*2</f>
        <v>3.36</v>
      </c>
      <c r="G720" s="241"/>
    </row>
    <row r="721" spans="1:17" ht="12.75">
      <c r="A721" s="485"/>
      <c r="B721" s="92" t="s">
        <v>417</v>
      </c>
      <c r="C721" s="106">
        <v>1.4</v>
      </c>
      <c r="D721" s="106">
        <v>1.2</v>
      </c>
      <c r="E721" s="106">
        <v>1</v>
      </c>
      <c r="F721" s="106">
        <f t="shared" si="36"/>
        <v>3.36</v>
      </c>
      <c r="G721" s="241"/>
      <c r="Q721" s="199"/>
    </row>
    <row r="722" spans="1:7" ht="12.75">
      <c r="A722" s="485"/>
      <c r="B722" s="104" t="s">
        <v>221</v>
      </c>
      <c r="C722" s="106">
        <v>1.4</v>
      </c>
      <c r="D722" s="106">
        <v>1.2</v>
      </c>
      <c r="E722" s="106">
        <v>1</v>
      </c>
      <c r="F722" s="106">
        <f t="shared" si="36"/>
        <v>3.36</v>
      </c>
      <c r="G722" s="241"/>
    </row>
    <row r="723" spans="1:7" ht="16.5" customHeight="1">
      <c r="A723" s="331"/>
      <c r="B723" s="323" t="s">
        <v>271</v>
      </c>
      <c r="C723" s="257">
        <v>1</v>
      </c>
      <c r="D723" s="257">
        <v>0.6</v>
      </c>
      <c r="E723" s="332">
        <v>1</v>
      </c>
      <c r="F723" s="106">
        <f t="shared" si="36"/>
        <v>1.2</v>
      </c>
      <c r="G723" s="333"/>
    </row>
    <row r="724" spans="1:7" ht="16.5" customHeight="1">
      <c r="A724" s="331"/>
      <c r="B724" s="323" t="s">
        <v>272</v>
      </c>
      <c r="C724" s="257">
        <v>1</v>
      </c>
      <c r="D724" s="257">
        <v>0.6</v>
      </c>
      <c r="E724" s="257">
        <v>1</v>
      </c>
      <c r="F724" s="106">
        <f t="shared" si="36"/>
        <v>1.2</v>
      </c>
      <c r="G724" s="333"/>
    </row>
    <row r="725" spans="1:7" ht="12.75">
      <c r="A725" s="485"/>
      <c r="B725" s="92" t="s">
        <v>206</v>
      </c>
      <c r="C725" s="110">
        <v>1.4</v>
      </c>
      <c r="D725" s="110">
        <v>1.2</v>
      </c>
      <c r="E725" s="106">
        <v>1</v>
      </c>
      <c r="F725" s="106">
        <f t="shared" si="36"/>
        <v>3.36</v>
      </c>
      <c r="G725" s="241"/>
    </row>
    <row r="726" spans="1:7" ht="12.75">
      <c r="A726" s="485"/>
      <c r="B726" s="92" t="s">
        <v>413</v>
      </c>
      <c r="C726" s="110">
        <v>1</v>
      </c>
      <c r="D726" s="110">
        <v>0.6</v>
      </c>
      <c r="E726" s="106">
        <v>1</v>
      </c>
      <c r="F726" s="106">
        <f t="shared" si="36"/>
        <v>1.2</v>
      </c>
      <c r="G726" s="241"/>
    </row>
    <row r="727" spans="1:17" ht="12.75">
      <c r="A727" s="331"/>
      <c r="B727" s="206" t="s">
        <v>203</v>
      </c>
      <c r="C727" s="244">
        <v>1</v>
      </c>
      <c r="D727" s="244">
        <v>0.6</v>
      </c>
      <c r="E727" s="257">
        <v>1</v>
      </c>
      <c r="F727" s="106">
        <f t="shared" si="36"/>
        <v>1.2</v>
      </c>
      <c r="G727" s="333"/>
      <c r="Q727" s="199"/>
    </row>
    <row r="728" spans="1:7" ht="12.75">
      <c r="A728" s="485"/>
      <c r="B728" s="92" t="s">
        <v>214</v>
      </c>
      <c r="C728" s="110">
        <v>1.4</v>
      </c>
      <c r="D728" s="110">
        <v>1.2</v>
      </c>
      <c r="E728" s="106">
        <v>1</v>
      </c>
      <c r="F728" s="106">
        <f t="shared" si="36"/>
        <v>3.36</v>
      </c>
      <c r="G728" s="241"/>
    </row>
    <row r="729" spans="1:7" ht="12.75">
      <c r="A729" s="485"/>
      <c r="B729" s="92" t="s">
        <v>207</v>
      </c>
      <c r="C729" s="110">
        <v>1.4</v>
      </c>
      <c r="D729" s="110">
        <v>1.2</v>
      </c>
      <c r="E729" s="106">
        <v>1</v>
      </c>
      <c r="F729" s="106">
        <f t="shared" si="36"/>
        <v>3.36</v>
      </c>
      <c r="G729" s="241"/>
    </row>
    <row r="730" spans="1:7" ht="12.75">
      <c r="A730" s="485"/>
      <c r="B730" s="92" t="s">
        <v>416</v>
      </c>
      <c r="C730" s="110">
        <v>1</v>
      </c>
      <c r="D730" s="110">
        <v>0.6</v>
      </c>
      <c r="E730" s="106">
        <v>1</v>
      </c>
      <c r="F730" s="106">
        <f t="shared" si="36"/>
        <v>1.2</v>
      </c>
      <c r="G730" s="241"/>
    </row>
    <row r="731" spans="1:9" ht="12.75">
      <c r="A731" s="485"/>
      <c r="B731" s="92" t="s">
        <v>257</v>
      </c>
      <c r="C731" s="110">
        <v>1</v>
      </c>
      <c r="D731" s="110">
        <v>0.6</v>
      </c>
      <c r="E731" s="106">
        <v>2</v>
      </c>
      <c r="F731" s="106">
        <f t="shared" si="36"/>
        <v>2.4</v>
      </c>
      <c r="G731" s="241"/>
      <c r="I731" t="s">
        <v>35</v>
      </c>
    </row>
    <row r="732" spans="1:7" ht="12.75">
      <c r="A732" s="485"/>
      <c r="B732" s="92" t="s">
        <v>205</v>
      </c>
      <c r="C732" s="110">
        <v>1.4</v>
      </c>
      <c r="D732" s="110">
        <v>1.2</v>
      </c>
      <c r="E732" s="106">
        <v>1</v>
      </c>
      <c r="F732" s="106">
        <f t="shared" si="36"/>
        <v>3.36</v>
      </c>
      <c r="G732" s="241"/>
    </row>
    <row r="733" spans="1:7" ht="12.75">
      <c r="A733" s="485"/>
      <c r="B733" s="86" t="s">
        <v>252</v>
      </c>
      <c r="C733" s="204">
        <v>1</v>
      </c>
      <c r="D733" s="204">
        <v>0.6</v>
      </c>
      <c r="E733" s="106">
        <v>1</v>
      </c>
      <c r="F733" s="106">
        <f t="shared" si="36"/>
        <v>1.2</v>
      </c>
      <c r="G733" s="241"/>
    </row>
    <row r="734" spans="1:7" ht="12.75">
      <c r="A734" s="331"/>
      <c r="B734" s="206" t="s">
        <v>268</v>
      </c>
      <c r="C734" s="244">
        <v>1</v>
      </c>
      <c r="D734" s="244">
        <v>0.6</v>
      </c>
      <c r="E734" s="257">
        <v>1</v>
      </c>
      <c r="F734" s="106">
        <f t="shared" si="36"/>
        <v>1.2</v>
      </c>
      <c r="G734" s="333"/>
    </row>
    <row r="735" spans="1:7" ht="13.5" thickBot="1">
      <c r="A735" s="485"/>
      <c r="B735" s="92" t="s">
        <v>256</v>
      </c>
      <c r="C735" s="110">
        <v>1.4</v>
      </c>
      <c r="D735" s="110">
        <v>1.2</v>
      </c>
      <c r="E735" s="106">
        <v>1</v>
      </c>
      <c r="F735" s="106">
        <f t="shared" si="36"/>
        <v>3.36</v>
      </c>
      <c r="G735" s="241"/>
    </row>
    <row r="736" spans="1:7" ht="13.5" thickBot="1">
      <c r="A736" s="485"/>
      <c r="B736" s="45"/>
      <c r="C736" s="50"/>
      <c r="D736" s="50"/>
      <c r="E736" s="195" t="s">
        <v>2</v>
      </c>
      <c r="F736" s="205">
        <f>SUM(F719:F735)</f>
        <v>41.04</v>
      </c>
      <c r="G736" s="241"/>
    </row>
    <row r="737" spans="1:7" ht="13.5" thickBot="1">
      <c r="A737" s="485"/>
      <c r="B737" s="34"/>
      <c r="C737" s="34"/>
      <c r="D737" s="34"/>
      <c r="E737" s="45"/>
      <c r="F737" s="489"/>
      <c r="G737" s="241"/>
    </row>
    <row r="738" spans="1:7" ht="13.5" thickBot="1">
      <c r="A738" s="80" t="s">
        <v>502</v>
      </c>
      <c r="B738" s="548" t="str">
        <f>Planilha!C65</f>
        <v>PINTURA ESMALTE SINTÉTICO EM SUPERFÍCIES METÁLICAS, DUAS (2) DEMÃOS, INCLUSIVE UMA (1) DEMÃO DE FUNDO ANTICORROSIVO</v>
      </c>
      <c r="C738" s="549"/>
      <c r="D738" s="549"/>
      <c r="E738" s="550"/>
      <c r="F738" s="81">
        <f>F744</f>
        <v>46.3</v>
      </c>
      <c r="G738" s="80" t="s">
        <v>94</v>
      </c>
    </row>
    <row r="739" spans="1:7" ht="12.75">
      <c r="A739" s="485"/>
      <c r="B739" s="34"/>
      <c r="C739" s="34"/>
      <c r="D739" s="34"/>
      <c r="E739" s="45"/>
      <c r="F739" s="489"/>
      <c r="G739" s="241"/>
    </row>
    <row r="740" spans="1:7" ht="12.75">
      <c r="A740" s="485"/>
      <c r="B740" s="324" t="s">
        <v>20</v>
      </c>
      <c r="C740" s="324" t="s">
        <v>21</v>
      </c>
      <c r="D740" s="324" t="s">
        <v>22</v>
      </c>
      <c r="E740" s="324" t="s">
        <v>24</v>
      </c>
      <c r="F740" s="324" t="s">
        <v>23</v>
      </c>
      <c r="G740" s="241"/>
    </row>
    <row r="741" spans="1:7" ht="12.75">
      <c r="A741" s="485"/>
      <c r="B741" s="323" t="s">
        <v>342</v>
      </c>
      <c r="C741" s="257">
        <v>25</v>
      </c>
      <c r="D741" s="257">
        <v>0.8</v>
      </c>
      <c r="E741" s="257">
        <v>1</v>
      </c>
      <c r="F741" s="257">
        <f>(C741*D741*E741)</f>
        <v>20</v>
      </c>
      <c r="G741" s="241"/>
    </row>
    <row r="742" spans="1:7" ht="16.5" customHeight="1" thickBot="1">
      <c r="A742" s="485"/>
      <c r="B742" s="323" t="s">
        <v>390</v>
      </c>
      <c r="C742" s="257">
        <v>1.5</v>
      </c>
      <c r="D742" s="257">
        <v>2.1</v>
      </c>
      <c r="E742" s="257">
        <v>1</v>
      </c>
      <c r="F742" s="257">
        <f>(C742*D742*E742)</f>
        <v>3.15</v>
      </c>
      <c r="G742" s="241"/>
    </row>
    <row r="743" spans="1:17" s="199" customFormat="1" ht="13.5" thickBot="1">
      <c r="A743" s="485"/>
      <c r="B743" s="45"/>
      <c r="C743" s="50"/>
      <c r="D743" s="50"/>
      <c r="E743" s="195" t="s">
        <v>62</v>
      </c>
      <c r="F743" s="205">
        <f>SUM(F741:F742)</f>
        <v>23.15</v>
      </c>
      <c r="G743" s="241"/>
      <c r="J743"/>
      <c r="K743"/>
      <c r="L743"/>
      <c r="M743"/>
      <c r="N743"/>
      <c r="O743"/>
      <c r="P743"/>
      <c r="Q743"/>
    </row>
    <row r="744" spans="1:17" s="199" customFormat="1" ht="13.5" thickBot="1">
      <c r="A744" s="485"/>
      <c r="B744" s="45"/>
      <c r="C744" s="50"/>
      <c r="D744" s="50"/>
      <c r="E744" s="195" t="s">
        <v>2</v>
      </c>
      <c r="F744" s="205">
        <f>F743*2</f>
        <v>46.3</v>
      </c>
      <c r="G744" s="241"/>
      <c r="J744"/>
      <c r="K744"/>
      <c r="L744"/>
      <c r="M744"/>
      <c r="N744"/>
      <c r="O744"/>
      <c r="P744"/>
      <c r="Q744"/>
    </row>
    <row r="745" spans="1:7" ht="16.5" customHeight="1">
      <c r="A745" s="485"/>
      <c r="B745" s="45"/>
      <c r="C745" s="50"/>
      <c r="D745" s="50"/>
      <c r="E745" s="489"/>
      <c r="F745" s="37"/>
      <c r="G745" s="241"/>
    </row>
    <row r="746" spans="1:7" ht="13.5" thickBot="1">
      <c r="A746" s="485"/>
      <c r="B746" s="45"/>
      <c r="C746" s="50"/>
      <c r="D746" s="50"/>
      <c r="E746" s="489"/>
      <c r="F746" s="37"/>
      <c r="G746" s="241"/>
    </row>
    <row r="747" spans="1:17" s="199" customFormat="1" ht="13.5" thickBot="1">
      <c r="A747" s="80" t="s">
        <v>503</v>
      </c>
      <c r="B747" s="548" t="str">
        <f>Planilha!C66</f>
        <v>PINTURA ANTICORROSIVA A BASE DE ÓXIDO DE FERRO (ZARCÃO) EM ESQUADRIA E SUPERFÍCIE METÁLICA, UMA (1) DEMÃO</v>
      </c>
      <c r="C747" s="549"/>
      <c r="D747" s="549"/>
      <c r="E747" s="550"/>
      <c r="F747" s="81">
        <f>F757</f>
        <v>15.36</v>
      </c>
      <c r="G747" s="80" t="s">
        <v>94</v>
      </c>
      <c r="J747"/>
      <c r="K747"/>
      <c r="L747"/>
      <c r="M747"/>
      <c r="N747"/>
      <c r="O747"/>
      <c r="P747"/>
      <c r="Q747"/>
    </row>
    <row r="748" spans="1:7" ht="12.75">
      <c r="A748" s="485"/>
      <c r="B748" s="45"/>
      <c r="C748" s="50"/>
      <c r="D748" s="50"/>
      <c r="E748" s="489"/>
      <c r="F748" s="37"/>
      <c r="G748" s="241"/>
    </row>
    <row r="749" spans="1:7" ht="12.75">
      <c r="A749" s="485"/>
      <c r="B749" s="324" t="s">
        <v>20</v>
      </c>
      <c r="C749" s="324" t="s">
        <v>21</v>
      </c>
      <c r="D749" s="324" t="s">
        <v>22</v>
      </c>
      <c r="E749" s="324" t="s">
        <v>24</v>
      </c>
      <c r="F749" s="324" t="s">
        <v>23</v>
      </c>
      <c r="G749" s="241"/>
    </row>
    <row r="750" spans="1:7" ht="12.75">
      <c r="A750" s="485"/>
      <c r="B750" s="92" t="s">
        <v>344</v>
      </c>
      <c r="C750" s="245">
        <v>1</v>
      </c>
      <c r="D750" s="101">
        <v>0.6</v>
      </c>
      <c r="E750" s="340">
        <v>1</v>
      </c>
      <c r="F750" s="110">
        <f aca="true" t="shared" si="37" ref="F750:F755">C750*D750*E750</f>
        <v>0.6</v>
      </c>
      <c r="G750" s="241"/>
    </row>
    <row r="751" spans="1:7" ht="12.75">
      <c r="A751" s="485"/>
      <c r="B751" s="92" t="s">
        <v>272</v>
      </c>
      <c r="C751" s="245">
        <v>1</v>
      </c>
      <c r="D751" s="101">
        <v>0.6</v>
      </c>
      <c r="E751" s="340">
        <v>1</v>
      </c>
      <c r="F751" s="110">
        <f t="shared" si="37"/>
        <v>0.6</v>
      </c>
      <c r="G751" s="241"/>
    </row>
    <row r="752" spans="1:7" ht="12.75">
      <c r="A752" s="485"/>
      <c r="B752" s="92" t="s">
        <v>203</v>
      </c>
      <c r="C752" s="245">
        <v>1</v>
      </c>
      <c r="D752" s="101">
        <v>0.6</v>
      </c>
      <c r="E752" s="340">
        <v>1</v>
      </c>
      <c r="F752" s="110">
        <f t="shared" si="37"/>
        <v>0.6</v>
      </c>
      <c r="G752" s="241"/>
    </row>
    <row r="753" spans="1:17" s="199" customFormat="1" ht="12.75">
      <c r="A753" s="485"/>
      <c r="B753" s="92" t="s">
        <v>391</v>
      </c>
      <c r="C753" s="245">
        <v>1.4</v>
      </c>
      <c r="D753" s="101">
        <v>1.2</v>
      </c>
      <c r="E753" s="340">
        <v>1</v>
      </c>
      <c r="F753" s="110">
        <f t="shared" si="37"/>
        <v>1.68</v>
      </c>
      <c r="G753" s="241"/>
      <c r="J753"/>
      <c r="K753"/>
      <c r="L753"/>
      <c r="M753"/>
      <c r="N753"/>
      <c r="O753"/>
      <c r="P753"/>
      <c r="Q753"/>
    </row>
    <row r="754" spans="1:7" ht="12.75">
      <c r="A754" s="485"/>
      <c r="B754" s="92" t="s">
        <v>214</v>
      </c>
      <c r="C754" s="245">
        <v>1.4</v>
      </c>
      <c r="D754" s="101">
        <v>1.2</v>
      </c>
      <c r="E754" s="340">
        <v>1</v>
      </c>
      <c r="F754" s="110">
        <f t="shared" si="37"/>
        <v>1.68</v>
      </c>
      <c r="G754" s="241"/>
    </row>
    <row r="755" spans="1:7" ht="12.75">
      <c r="A755" s="485"/>
      <c r="B755" s="92" t="s">
        <v>345</v>
      </c>
      <c r="C755" s="101">
        <v>1.2</v>
      </c>
      <c r="D755" s="101">
        <v>2.1</v>
      </c>
      <c r="E755" s="340">
        <v>1</v>
      </c>
      <c r="F755" s="110">
        <f t="shared" si="37"/>
        <v>2.52</v>
      </c>
      <c r="G755" s="241"/>
    </row>
    <row r="756" spans="1:7" ht="13.5" thickBot="1">
      <c r="A756" s="485"/>
      <c r="B756" s="45"/>
      <c r="C756" s="50"/>
      <c r="D756" s="50"/>
      <c r="E756" s="360" t="s">
        <v>62</v>
      </c>
      <c r="F756" s="358">
        <f>SUM(F750:F755)</f>
        <v>7.68</v>
      </c>
      <c r="G756" s="241"/>
    </row>
    <row r="757" spans="1:7" ht="13.5" thickBot="1">
      <c r="A757" s="485"/>
      <c r="B757" s="45"/>
      <c r="C757" s="50"/>
      <c r="D757" s="50"/>
      <c r="E757" s="341" t="s">
        <v>2</v>
      </c>
      <c r="F757" s="205">
        <f>F756*2</f>
        <v>15.36</v>
      </c>
      <c r="G757" s="241"/>
    </row>
    <row r="758" spans="1:7" ht="13.5" thickBot="1">
      <c r="A758" s="485"/>
      <c r="B758" s="34"/>
      <c r="C758" s="34"/>
      <c r="D758" s="34"/>
      <c r="E758" s="45"/>
      <c r="F758" s="489"/>
      <c r="G758" s="241"/>
    </row>
    <row r="759" spans="1:7" ht="13.5" thickBot="1">
      <c r="A759" s="79">
        <v>10</v>
      </c>
      <c r="B759" s="557" t="s">
        <v>61</v>
      </c>
      <c r="C759" s="558"/>
      <c r="D759" s="558"/>
      <c r="E759" s="558"/>
      <c r="F759" s="558"/>
      <c r="G759" s="559"/>
    </row>
    <row r="760" spans="1:7" ht="13.5" thickBot="1">
      <c r="A760" s="54"/>
      <c r="B760" s="34"/>
      <c r="C760" s="34"/>
      <c r="D760" s="34"/>
      <c r="E760" s="489"/>
      <c r="F760" s="37"/>
      <c r="G760" s="55"/>
    </row>
    <row r="761" spans="1:7" ht="13.5" thickBot="1">
      <c r="A761" s="80" t="s">
        <v>66</v>
      </c>
      <c r="B761" s="548" t="s">
        <v>58</v>
      </c>
      <c r="C761" s="549"/>
      <c r="D761" s="549"/>
      <c r="E761" s="550"/>
      <c r="F761" s="81">
        <f>F766</f>
        <v>5</v>
      </c>
      <c r="G761" s="80" t="s">
        <v>93</v>
      </c>
    </row>
    <row r="762" spans="1:7" ht="12.75">
      <c r="A762" s="194"/>
      <c r="B762" s="34"/>
      <c r="C762" s="34"/>
      <c r="D762" s="34"/>
      <c r="E762" s="45"/>
      <c r="F762" s="52"/>
      <c r="G762" s="35"/>
    </row>
    <row r="763" spans="1:7" ht="12.75">
      <c r="A763" s="194"/>
      <c r="B763" s="52"/>
      <c r="C763" s="50"/>
      <c r="D763" s="50"/>
      <c r="E763" s="112" t="s">
        <v>20</v>
      </c>
      <c r="F763" s="191" t="s">
        <v>24</v>
      </c>
      <c r="G763" s="55"/>
    </row>
    <row r="764" spans="1:7" ht="12.75">
      <c r="A764" s="392"/>
      <c r="B764" s="52"/>
      <c r="C764" s="49"/>
      <c r="D764" s="51"/>
      <c r="E764" s="254" t="s">
        <v>322</v>
      </c>
      <c r="F764" s="255">
        <v>1</v>
      </c>
      <c r="G764" s="55"/>
    </row>
    <row r="765" spans="1:7" ht="12.75">
      <c r="A765" s="392"/>
      <c r="B765" s="52"/>
      <c r="C765" s="49"/>
      <c r="D765" s="51"/>
      <c r="E765" s="254" t="s">
        <v>59</v>
      </c>
      <c r="F765" s="255">
        <v>4</v>
      </c>
      <c r="G765" s="55"/>
    </row>
    <row r="766" spans="1:7" ht="12.75">
      <c r="A766" s="392"/>
      <c r="B766" s="52"/>
      <c r="C766" s="49"/>
      <c r="D766" s="51"/>
      <c r="E766" s="112" t="s">
        <v>2</v>
      </c>
      <c r="F766" s="113">
        <f>SUM(F764:F765)</f>
        <v>5</v>
      </c>
      <c r="G766" s="55"/>
    </row>
    <row r="767" spans="1:7" ht="13.5" thickBot="1">
      <c r="A767" s="392"/>
      <c r="B767" s="52"/>
      <c r="C767" s="49"/>
      <c r="D767" s="51"/>
      <c r="E767" s="252"/>
      <c r="F767" s="253"/>
      <c r="G767" s="55"/>
    </row>
    <row r="768" spans="1:7" ht="13.5" thickBot="1">
      <c r="A768" s="80" t="s">
        <v>67</v>
      </c>
      <c r="B768" s="548" t="str">
        <f>Planilha!C69</f>
        <v>(COMPOSIÇÃO REPRESENTATIVA) DO SERVIÇO DE INSTALAÇÃO DE TUBOS DE PVC SOLDÁVEL, ÁGUA FRIA, DN 50 MM (INSTALADO EM PRUMADA), INCLUSIVE CONEXÕES, CORTES E FIXAÇÕES, PARA PRÉDIOS. AF_10/2015</v>
      </c>
      <c r="C768" s="549"/>
      <c r="D768" s="549"/>
      <c r="E768" s="550"/>
      <c r="F768" s="81">
        <f>F773</f>
        <v>9</v>
      </c>
      <c r="G768" s="80" t="s">
        <v>19</v>
      </c>
    </row>
    <row r="769" spans="1:7" ht="12.75">
      <c r="A769" s="33"/>
      <c r="B769" s="34"/>
      <c r="C769" s="34"/>
      <c r="D769" s="489"/>
      <c r="E769" s="37"/>
      <c r="F769" s="34"/>
      <c r="G769" s="35"/>
    </row>
    <row r="770" spans="1:7" ht="12.75">
      <c r="A770" s="33"/>
      <c r="B770" s="34"/>
      <c r="C770" s="34"/>
      <c r="D770" s="489"/>
      <c r="E770" s="112" t="s">
        <v>20</v>
      </c>
      <c r="F770" s="191" t="s">
        <v>366</v>
      </c>
      <c r="G770" s="35"/>
    </row>
    <row r="771" spans="1:10" ht="12.75">
      <c r="A771" s="33"/>
      <c r="B771" s="34"/>
      <c r="C771" s="34"/>
      <c r="D771" s="489"/>
      <c r="E771" s="104" t="s">
        <v>255</v>
      </c>
      <c r="F771" s="255">
        <v>6</v>
      </c>
      <c r="G771" s="35"/>
      <c r="J771" s="52"/>
    </row>
    <row r="772" spans="1:7" ht="13.5" thickBot="1">
      <c r="A772" s="33"/>
      <c r="B772" s="34"/>
      <c r="C772" s="34"/>
      <c r="D772" s="489"/>
      <c r="E772" s="104" t="s">
        <v>203</v>
      </c>
      <c r="F772" s="111">
        <v>3</v>
      </c>
      <c r="G772" s="35"/>
    </row>
    <row r="773" spans="1:7" ht="13.5" thickBot="1">
      <c r="A773" s="54"/>
      <c r="B773" s="34"/>
      <c r="C773" s="34"/>
      <c r="D773" s="34"/>
      <c r="E773" s="342" t="s">
        <v>2</v>
      </c>
      <c r="F773" s="270">
        <f>SUM(F771:F772)</f>
        <v>9</v>
      </c>
      <c r="G773" s="35"/>
    </row>
    <row r="774" spans="1:7" ht="13.5" thickBot="1">
      <c r="A774" s="54"/>
      <c r="B774" s="34"/>
      <c r="C774" s="34"/>
      <c r="D774" s="34"/>
      <c r="E774" s="310"/>
      <c r="F774" s="336"/>
      <c r="G774" s="35"/>
    </row>
    <row r="775" spans="1:7" ht="13.5" thickBot="1">
      <c r="A775" s="80" t="s">
        <v>68</v>
      </c>
      <c r="B775" s="548" t="str">
        <f>Planilha!C70</f>
        <v>PONTO DE EMBUTIR PARA ESGOTO EM TUBO PVC RÍGIDO, PB SÉRIE NORMAL, DN 40MM (1.1/2"), EMBUTIDO NA ALVENARIA/PISO, COM ALTURA (SAÍDA) DE 50CM DO PISO, COM DISTÂNCIA DE ATÉ CINCO (5) METROS DA RAMAL DE ESGOTO, EXCLUSIVE ESCAVAÇÃO, INCLUSIVE CONEXÕES E FIXAÇÃO DO TUBO COM ENCHIMENTO DO RASGO NA ALVENARIA/CONCRETO COM ARGAMASSA</v>
      </c>
      <c r="C775" s="549"/>
      <c r="D775" s="549"/>
      <c r="E775" s="550"/>
      <c r="F775" s="81">
        <f>F781</f>
        <v>5</v>
      </c>
      <c r="G775" s="80" t="s">
        <v>93</v>
      </c>
    </row>
    <row r="776" spans="1:7" ht="12.75">
      <c r="A776" s="54"/>
      <c r="B776" s="52"/>
      <c r="C776" s="49"/>
      <c r="D776" s="51"/>
      <c r="E776" s="252"/>
      <c r="F776" s="253"/>
      <c r="G776" s="55"/>
    </row>
    <row r="777" spans="1:7" ht="12.75">
      <c r="A777" s="54"/>
      <c r="B777" s="52"/>
      <c r="C777" s="49"/>
      <c r="D777" s="51"/>
      <c r="E777" s="112" t="s">
        <v>20</v>
      </c>
      <c r="F777" s="191" t="s">
        <v>24</v>
      </c>
      <c r="G777" s="55"/>
    </row>
    <row r="778" spans="1:7" ht="12.75">
      <c r="A778" s="54"/>
      <c r="B778" s="52"/>
      <c r="C778" s="49"/>
      <c r="D778" s="51"/>
      <c r="E778" s="254" t="s">
        <v>251</v>
      </c>
      <c r="F778" s="255">
        <v>2</v>
      </c>
      <c r="G778" s="55"/>
    </row>
    <row r="779" spans="1:7" ht="12.75">
      <c r="A779" s="54"/>
      <c r="B779" s="52"/>
      <c r="C779" s="49"/>
      <c r="D779" s="51"/>
      <c r="E779" s="254" t="s">
        <v>322</v>
      </c>
      <c r="F779" s="255">
        <v>2</v>
      </c>
      <c r="G779" s="55"/>
    </row>
    <row r="780" spans="1:7" ht="12.75">
      <c r="A780" s="54"/>
      <c r="B780" s="52"/>
      <c r="C780" s="49"/>
      <c r="D780" s="51"/>
      <c r="E780" s="254" t="s">
        <v>203</v>
      </c>
      <c r="F780" s="255">
        <v>1</v>
      </c>
      <c r="G780" s="55"/>
    </row>
    <row r="781" spans="1:7" ht="12.75">
      <c r="A781" s="54"/>
      <c r="B781" s="52"/>
      <c r="C781" s="49"/>
      <c r="D781" s="51"/>
      <c r="E781" s="112" t="s">
        <v>2</v>
      </c>
      <c r="F781" s="113">
        <f>SUM(F778:F780)</f>
        <v>5</v>
      </c>
      <c r="G781" s="55"/>
    </row>
    <row r="782" spans="1:7" ht="13.5" thickBot="1">
      <c r="A782" s="54"/>
      <c r="B782" s="52"/>
      <c r="C782" s="49"/>
      <c r="D782" s="51"/>
      <c r="E782" s="252"/>
      <c r="F782" s="253"/>
      <c r="G782" s="55"/>
    </row>
    <row r="783" spans="1:7" ht="13.5" thickBot="1">
      <c r="A783" s="80" t="s">
        <v>69</v>
      </c>
      <c r="B783" s="548" t="str">
        <f>Planilha!C71</f>
        <v>PONTO DE EMBUTIR PARA ESGOTO EM TUBO PVC RÍGIDO, PBV SÉRIE NORMAL, DN 100MM (4"), EMBUTIDO EM PISO COM DISTÂNCIA DE ATÉ CINCO (5) METROS DA RAMAL DE ESGOTO, INCLUSIVE CONEXÕES E FIXAÇÃO DO TUBO COM ENCHIMENTO DO RASGO NO CONCRETO COM ARGAMASSA</v>
      </c>
      <c r="C783" s="549"/>
      <c r="D783" s="549"/>
      <c r="E783" s="550"/>
      <c r="F783" s="81">
        <f>F789</f>
        <v>5</v>
      </c>
      <c r="G783" s="80" t="s">
        <v>93</v>
      </c>
    </row>
    <row r="784" spans="1:7" ht="12.75">
      <c r="A784" s="54"/>
      <c r="B784" s="52"/>
      <c r="C784" s="49"/>
      <c r="D784" s="51"/>
      <c r="E784" s="252"/>
      <c r="F784" s="253"/>
      <c r="G784" s="55"/>
    </row>
    <row r="785" spans="1:7" ht="12.75">
      <c r="A785" s="54"/>
      <c r="B785" s="52"/>
      <c r="C785" s="49"/>
      <c r="D785" s="51"/>
      <c r="E785" s="112" t="s">
        <v>20</v>
      </c>
      <c r="F785" s="191" t="s">
        <v>24</v>
      </c>
      <c r="G785" s="55"/>
    </row>
    <row r="786" spans="1:7" ht="12.75">
      <c r="A786" s="54"/>
      <c r="B786" s="52"/>
      <c r="C786" s="49"/>
      <c r="D786" s="51"/>
      <c r="E786" s="254" t="s">
        <v>251</v>
      </c>
      <c r="F786" s="255">
        <v>2</v>
      </c>
      <c r="G786" s="55"/>
    </row>
    <row r="787" spans="1:7" ht="12.75">
      <c r="A787" s="54"/>
      <c r="B787" s="52"/>
      <c r="C787" s="49"/>
      <c r="D787" s="51"/>
      <c r="E787" s="254" t="s">
        <v>203</v>
      </c>
      <c r="F787" s="255">
        <v>1</v>
      </c>
      <c r="G787" s="55"/>
    </row>
    <row r="788" spans="1:7" ht="12.75">
      <c r="A788" s="54"/>
      <c r="B788" s="52"/>
      <c r="C788" s="49"/>
      <c r="D788" s="51"/>
      <c r="E788" s="254" t="s">
        <v>322</v>
      </c>
      <c r="F788" s="255">
        <v>2</v>
      </c>
      <c r="G788" s="55"/>
    </row>
    <row r="789" spans="1:7" ht="12.75">
      <c r="A789" s="54"/>
      <c r="B789" s="52"/>
      <c r="C789" s="49"/>
      <c r="D789" s="51"/>
      <c r="E789" s="112" t="s">
        <v>2</v>
      </c>
      <c r="F789" s="113">
        <f>SUM(F786:F788)</f>
        <v>5</v>
      </c>
      <c r="G789" s="55"/>
    </row>
    <row r="790" spans="1:7" ht="12.75">
      <c r="A790" s="54"/>
      <c r="B790" s="52"/>
      <c r="C790" s="49"/>
      <c r="D790" s="51"/>
      <c r="E790" s="252"/>
      <c r="F790" s="253"/>
      <c r="G790" s="55"/>
    </row>
    <row r="791" spans="1:7" ht="13.5" thickBot="1">
      <c r="A791" s="54"/>
      <c r="B791" s="52"/>
      <c r="C791" s="49"/>
      <c r="D791" s="51"/>
      <c r="E791" s="252"/>
      <c r="F791" s="253"/>
      <c r="G791" s="55"/>
    </row>
    <row r="792" spans="1:7" ht="13.5" thickBot="1">
      <c r="A792" s="80" t="s">
        <v>376</v>
      </c>
      <c r="B792" s="548" t="str">
        <f>Planilha!C72</f>
        <v>CAIXA DE ESGOTO DE INSPEÇÃO/PASSAGEM EM ALVENARIA ( 30X30X40CM), REVESTIMENTO EM ARGAMASSA COM ADITIVO IMPERMEABILIZANTE, COM TAMPA DE CONCRETO, INCLUSIVE ESCAVAÇÃO, REATERRO E TRANSPORTE E RETIRADA DO MATERIAL ESCAVADO (EM CAÇAMBA)</v>
      </c>
      <c r="C792" s="549"/>
      <c r="D792" s="549"/>
      <c r="E792" s="550"/>
      <c r="F792" s="81">
        <f>F797</f>
        <v>3</v>
      </c>
      <c r="G792" s="80" t="s">
        <v>93</v>
      </c>
    </row>
    <row r="793" spans="1:7" ht="12.75">
      <c r="A793" s="54"/>
      <c r="B793" s="52"/>
      <c r="C793" s="49"/>
      <c r="D793" s="51"/>
      <c r="E793" s="252"/>
      <c r="F793" s="253"/>
      <c r="G793" s="55"/>
    </row>
    <row r="794" spans="1:7" ht="12.75">
      <c r="A794" s="54"/>
      <c r="B794" s="52"/>
      <c r="C794" s="49"/>
      <c r="D794" s="51"/>
      <c r="E794" s="112" t="s">
        <v>20</v>
      </c>
      <c r="F794" s="191" t="s">
        <v>24</v>
      </c>
      <c r="G794" s="55"/>
    </row>
    <row r="795" spans="1:7" ht="12.75">
      <c r="A795" s="54"/>
      <c r="B795" s="52"/>
      <c r="C795" s="49"/>
      <c r="D795" s="51"/>
      <c r="E795" s="254" t="s">
        <v>251</v>
      </c>
      <c r="F795" s="255">
        <v>2</v>
      </c>
      <c r="G795" s="55"/>
    </row>
    <row r="796" spans="1:7" ht="12.75">
      <c r="A796" s="54"/>
      <c r="B796" s="52"/>
      <c r="C796" s="49"/>
      <c r="D796" s="51"/>
      <c r="E796" s="254" t="s">
        <v>203</v>
      </c>
      <c r="F796" s="255">
        <v>1</v>
      </c>
      <c r="G796" s="55"/>
    </row>
    <row r="797" spans="1:7" ht="12.75">
      <c r="A797" s="54"/>
      <c r="B797" s="34"/>
      <c r="C797" s="34"/>
      <c r="D797" s="34"/>
      <c r="E797" s="112" t="s">
        <v>2</v>
      </c>
      <c r="F797" s="113">
        <f>SUM(F795:F796)</f>
        <v>3</v>
      </c>
      <c r="G797" s="55"/>
    </row>
    <row r="798" spans="1:7" ht="13.5" thickBot="1">
      <c r="A798" s="54"/>
      <c r="B798" s="34"/>
      <c r="C798" s="34"/>
      <c r="D798" s="34"/>
      <c r="E798" s="252"/>
      <c r="F798" s="253"/>
      <c r="G798" s="55"/>
    </row>
    <row r="799" spans="1:7" ht="13.5" thickBot="1">
      <c r="A799" s="79">
        <v>11</v>
      </c>
      <c r="B799" s="557" t="s">
        <v>42</v>
      </c>
      <c r="C799" s="558"/>
      <c r="D799" s="558"/>
      <c r="E799" s="558"/>
      <c r="F799" s="558"/>
      <c r="G799" s="82"/>
    </row>
    <row r="800" spans="1:7" ht="13.5" thickBot="1">
      <c r="A800" s="393"/>
      <c r="B800" s="34"/>
      <c r="C800" s="34"/>
      <c r="D800" s="34"/>
      <c r="E800" s="489"/>
      <c r="F800" s="37"/>
      <c r="G800" s="55"/>
    </row>
    <row r="801" spans="1:7" ht="12.75" customHeight="1" thickBot="1">
      <c r="A801" s="80" t="s">
        <v>50</v>
      </c>
      <c r="B801" s="548" t="s">
        <v>43</v>
      </c>
      <c r="C801" s="549"/>
      <c r="D801" s="549"/>
      <c r="E801" s="550"/>
      <c r="F801" s="81">
        <f>F807</f>
        <v>4</v>
      </c>
      <c r="G801" s="220" t="s">
        <v>93</v>
      </c>
    </row>
    <row r="802" spans="1:7" ht="12.75">
      <c r="A802" s="194"/>
      <c r="B802" s="34"/>
      <c r="C802" s="34"/>
      <c r="D802" s="34"/>
      <c r="E802" s="45"/>
      <c r="F802" s="52"/>
      <c r="G802" s="35"/>
    </row>
    <row r="803" spans="1:7" ht="12.75">
      <c r="A803" s="194"/>
      <c r="B803" s="52"/>
      <c r="C803" s="50"/>
      <c r="D803" s="50"/>
      <c r="E803" s="112" t="s">
        <v>20</v>
      </c>
      <c r="F803" s="191" t="s">
        <v>24</v>
      </c>
      <c r="G803" s="55"/>
    </row>
    <row r="804" spans="1:7" ht="12.75">
      <c r="A804" s="194"/>
      <c r="B804" s="52"/>
      <c r="C804" s="50"/>
      <c r="D804" s="50"/>
      <c r="E804" s="101" t="s">
        <v>413</v>
      </c>
      <c r="F804" s="110">
        <v>1</v>
      </c>
      <c r="G804" s="55"/>
    </row>
    <row r="805" spans="1:7" ht="12.75">
      <c r="A805" s="194"/>
      <c r="B805" s="52"/>
      <c r="C805" s="50"/>
      <c r="D805" s="50"/>
      <c r="E805" s="254" t="s">
        <v>416</v>
      </c>
      <c r="F805" s="204">
        <v>1</v>
      </c>
      <c r="G805" s="55"/>
    </row>
    <row r="806" spans="1:7" ht="13.5" thickBot="1">
      <c r="A806" s="392"/>
      <c r="B806" s="52"/>
      <c r="C806" s="49"/>
      <c r="D806" s="51"/>
      <c r="E806" s="254" t="s">
        <v>55</v>
      </c>
      <c r="F806" s="255">
        <v>2</v>
      </c>
      <c r="G806" s="55"/>
    </row>
    <row r="807" spans="1:7" ht="13.5" thickBot="1">
      <c r="A807" s="392"/>
      <c r="B807" s="52"/>
      <c r="C807" s="49"/>
      <c r="D807" s="51"/>
      <c r="E807" s="271" t="s">
        <v>2</v>
      </c>
      <c r="F807" s="270">
        <f>SUM(F804:F806)</f>
        <v>4</v>
      </c>
      <c r="G807" s="55"/>
    </row>
    <row r="808" spans="1:7" ht="13.5" thickBot="1">
      <c r="A808" s="392"/>
      <c r="B808" s="52"/>
      <c r="C808" s="49"/>
      <c r="D808" s="51"/>
      <c r="E808" s="252"/>
      <c r="F808" s="253"/>
      <c r="G808" s="55"/>
    </row>
    <row r="809" spans="1:7" ht="13.5" thickBot="1">
      <c r="A809" s="80" t="s">
        <v>51</v>
      </c>
      <c r="B809" s="548" t="str">
        <f>Planilha!C77</f>
        <v>BACIA SANITÁRIA (VASO) DE LOUÇA CONVENCIONAL, ACESSÍVEL (PCR/PMR), COR BRANCA, COM INSTALAÇÃO DE SÓCULO NA BASE DA BACIA ACOMPANHANDO A PROJEÇÃO DA BASE, NÃO ULTRAPASSANDO ALTURA DE 5CM, ALTURA MÁXIMA DE 46CM (BACIA+ASSENTO), INCLUSIVE ACESSÓRIOS DE FIXAÇÃO/VEDAÇÃO, VÁLVULA DE DESCARGA METÁLICA COM ACIONAMENTO DUPLO, TUBO DE LIGAÇÃO DE LATÃO COM CANOPLA, FORNECIMENTO, INSTALAÇÃO E REJUNTAMENTO, EXCLUSIVE ASSENTO</v>
      </c>
      <c r="C809" s="549"/>
      <c r="D809" s="549"/>
      <c r="E809" s="550"/>
      <c r="F809" s="81">
        <f>F813</f>
        <v>1</v>
      </c>
      <c r="G809" s="220" t="s">
        <v>93</v>
      </c>
    </row>
    <row r="810" spans="1:7" ht="12.75">
      <c r="A810" s="54"/>
      <c r="B810" s="52"/>
      <c r="C810" s="49"/>
      <c r="D810" s="51"/>
      <c r="E810" s="252"/>
      <c r="F810" s="253"/>
      <c r="G810" s="55"/>
    </row>
    <row r="811" spans="1:7" ht="12.75">
      <c r="A811" s="54"/>
      <c r="B811" s="52"/>
      <c r="C811" s="49"/>
      <c r="D811" s="51"/>
      <c r="E811" s="112" t="s">
        <v>20</v>
      </c>
      <c r="F811" s="191" t="s">
        <v>24</v>
      </c>
      <c r="G811" s="55"/>
    </row>
    <row r="812" spans="1:7" ht="12.75">
      <c r="A812" s="54"/>
      <c r="B812" s="52"/>
      <c r="C812" s="49"/>
      <c r="D812" s="51"/>
      <c r="E812" s="101" t="s">
        <v>203</v>
      </c>
      <c r="F812" s="111">
        <v>1</v>
      </c>
      <c r="G812" s="55"/>
    </row>
    <row r="813" spans="1:7" ht="13.5" thickBot="1">
      <c r="A813" s="54"/>
      <c r="B813" s="52"/>
      <c r="C813" s="49"/>
      <c r="D813" s="51"/>
      <c r="E813" s="334" t="s">
        <v>2</v>
      </c>
      <c r="F813" s="335">
        <f>SUM(F812:F812)</f>
        <v>1</v>
      </c>
      <c r="G813" s="55"/>
    </row>
    <row r="814" spans="1:7" ht="13.5" thickBot="1">
      <c r="A814" s="54"/>
      <c r="B814" s="52"/>
      <c r="C814" s="49"/>
      <c r="D814" s="51"/>
      <c r="E814" s="252"/>
      <c r="F814" s="253"/>
      <c r="G814" s="55"/>
    </row>
    <row r="815" spans="1:7" ht="13.5" thickBot="1">
      <c r="A815" s="80" t="s">
        <v>70</v>
      </c>
      <c r="B815" s="548" t="str">
        <f>Planilha!C78</f>
        <v>BANCADA DE GRANITO CINZA POLIDO, DE 0,50 X 0,60 M, PARA LAVATÓRIO FORRNECIMENTO E INSTALAÇÃO. AF_01/2020</v>
      </c>
      <c r="C815" s="549"/>
      <c r="D815" s="549"/>
      <c r="E815" s="550"/>
      <c r="F815" s="81">
        <f>F821</f>
        <v>4</v>
      </c>
      <c r="G815" s="80" t="s">
        <v>93</v>
      </c>
    </row>
    <row r="816" spans="1:7" ht="12.75">
      <c r="A816" s="33"/>
      <c r="B816" s="34"/>
      <c r="C816" s="34"/>
      <c r="D816" s="34"/>
      <c r="E816" s="45"/>
      <c r="F816" s="52"/>
      <c r="G816" s="32"/>
    </row>
    <row r="817" spans="1:7" ht="12.75">
      <c r="A817" s="33"/>
      <c r="B817" s="52"/>
      <c r="C817" s="50"/>
      <c r="D817" s="50"/>
      <c r="E817" s="112" t="s">
        <v>20</v>
      </c>
      <c r="F817" s="191" t="s">
        <v>24</v>
      </c>
      <c r="G817" s="55"/>
    </row>
    <row r="818" spans="1:7" ht="12.75">
      <c r="A818" s="33"/>
      <c r="B818" s="52"/>
      <c r="C818" s="50"/>
      <c r="D818" s="50"/>
      <c r="E818" s="101" t="s">
        <v>203</v>
      </c>
      <c r="F818" s="110">
        <v>1</v>
      </c>
      <c r="G818" s="55"/>
    </row>
    <row r="819" spans="1:7" ht="12.75">
      <c r="A819" s="33"/>
      <c r="B819" s="52"/>
      <c r="C819" s="50"/>
      <c r="D819" s="50"/>
      <c r="E819" s="101" t="s">
        <v>54</v>
      </c>
      <c r="F819" s="110">
        <v>2</v>
      </c>
      <c r="G819" s="55"/>
    </row>
    <row r="820" spans="1:7" ht="13.5" thickBot="1">
      <c r="A820" s="33"/>
      <c r="B820" s="52"/>
      <c r="C820" s="50"/>
      <c r="D820" s="50"/>
      <c r="E820" s="101" t="s">
        <v>413</v>
      </c>
      <c r="F820" s="204">
        <v>1</v>
      </c>
      <c r="G820" s="55"/>
    </row>
    <row r="821" spans="1:7" ht="13.5" thickBot="1">
      <c r="A821" s="33"/>
      <c r="B821" s="52"/>
      <c r="C821" s="50"/>
      <c r="D821" s="50"/>
      <c r="E821" s="271" t="s">
        <v>2</v>
      </c>
      <c r="F821" s="270">
        <f>SUM(F818:F820)</f>
        <v>4</v>
      </c>
      <c r="G821" s="55"/>
    </row>
    <row r="822" spans="1:7" ht="13.5" thickBot="1">
      <c r="A822" s="33"/>
      <c r="B822" s="52"/>
      <c r="C822" s="50"/>
      <c r="D822" s="50"/>
      <c r="E822" s="252"/>
      <c r="F822" s="253"/>
      <c r="G822" s="55"/>
    </row>
    <row r="823" spans="1:7" ht="13.5" thickBot="1">
      <c r="A823" s="80" t="s">
        <v>71</v>
      </c>
      <c r="B823" s="548" t="str">
        <f>Planilha!C79</f>
        <v>CUBA DE LOUÇA BRANCA DE EMBUTIR, FORMATO OVAL,
INCLUSIVE VÁLVULA DE ESCOAMENTO DE METAL COM
ACABAMENTO CROMADO, SIFÃO DE METAL TIPO COPO COM
ACABAMENTO CROMADO, FORNECIMENTO E INSTALAÇÃO</v>
      </c>
      <c r="C823" s="549"/>
      <c r="D823" s="549"/>
      <c r="E823" s="550"/>
      <c r="F823" s="81">
        <f>F829</f>
        <v>4</v>
      </c>
      <c r="G823" s="80" t="s">
        <v>93</v>
      </c>
    </row>
    <row r="824" spans="1:7" ht="12.75">
      <c r="A824" s="33"/>
      <c r="B824" s="34"/>
      <c r="C824" s="34"/>
      <c r="D824" s="34"/>
      <c r="E824" s="45"/>
      <c r="F824" s="52"/>
      <c r="G824" s="32"/>
    </row>
    <row r="825" spans="1:7" ht="12.75">
      <c r="A825" s="33"/>
      <c r="B825" s="52"/>
      <c r="C825" s="50"/>
      <c r="D825" s="50"/>
      <c r="E825" s="112" t="s">
        <v>20</v>
      </c>
      <c r="F825" s="191" t="s">
        <v>24</v>
      </c>
      <c r="G825" s="55"/>
    </row>
    <row r="826" spans="1:7" ht="12.75">
      <c r="A826" s="33"/>
      <c r="B826" s="52"/>
      <c r="C826" s="50"/>
      <c r="D826" s="50"/>
      <c r="E826" s="101" t="s">
        <v>203</v>
      </c>
      <c r="F826" s="110">
        <v>1</v>
      </c>
      <c r="G826" s="55"/>
    </row>
    <row r="827" spans="1:7" ht="12.75">
      <c r="A827" s="33"/>
      <c r="B827" s="52"/>
      <c r="C827" s="50"/>
      <c r="D827" s="50"/>
      <c r="E827" s="101" t="s">
        <v>54</v>
      </c>
      <c r="F827" s="110">
        <v>2</v>
      </c>
      <c r="G827" s="55"/>
    </row>
    <row r="828" spans="1:7" ht="13.5" thickBot="1">
      <c r="A828" s="33"/>
      <c r="B828" s="52"/>
      <c r="C828" s="50"/>
      <c r="D828" s="50"/>
      <c r="E828" s="101" t="s">
        <v>422</v>
      </c>
      <c r="F828" s="204">
        <v>1</v>
      </c>
      <c r="G828" s="55"/>
    </row>
    <row r="829" spans="1:7" ht="13.5" thickBot="1">
      <c r="A829" s="33"/>
      <c r="B829" s="52"/>
      <c r="C829" s="50"/>
      <c r="D829" s="50"/>
      <c r="E829" s="271" t="s">
        <v>2</v>
      </c>
      <c r="F829" s="270">
        <f>SUM(F826:F828)</f>
        <v>4</v>
      </c>
      <c r="G829" s="55"/>
    </row>
    <row r="830" spans="1:7" ht="13.5" thickBot="1">
      <c r="A830" s="33"/>
      <c r="B830" s="52"/>
      <c r="C830" s="50"/>
      <c r="D830" s="50"/>
      <c r="E830" s="252"/>
      <c r="F830" s="253"/>
      <c r="G830" s="55"/>
    </row>
    <row r="831" spans="1:7" ht="13.5" thickBot="1">
      <c r="A831" s="80" t="s">
        <v>122</v>
      </c>
      <c r="B831" s="548" t="str">
        <f>Planilha!C80</f>
        <v>TANQUE DE MÁRMORE SINTÉTICO DUPLO, CAPACIDADE 37 LITROS, INCLUSIVE ACESSÓRIOS DE FIXAÇÃO, VÁLVULA DE ESCOAMENTO DE METAL COM ACABAMENTO CROMADO, SIFÃO DE METAL TIPO COPO COM ACABAMENTO CROMADO, FORNECIMENTO E INSTALAÇÃO, EXCLUSIVE TORNEIRA</v>
      </c>
      <c r="C831" s="549"/>
      <c r="D831" s="549"/>
      <c r="E831" s="550"/>
      <c r="F831" s="81">
        <f>F835</f>
        <v>1</v>
      </c>
      <c r="G831" s="220" t="s">
        <v>93</v>
      </c>
    </row>
    <row r="832" spans="1:7" ht="12.75">
      <c r="A832" s="33"/>
      <c r="B832" s="52"/>
      <c r="C832" s="50"/>
      <c r="D832" s="50"/>
      <c r="E832" s="252"/>
      <c r="F832" s="253"/>
      <c r="G832" s="55"/>
    </row>
    <row r="833" spans="1:7" ht="12.75">
      <c r="A833" s="33"/>
      <c r="B833" s="52"/>
      <c r="C833" s="50"/>
      <c r="D833" s="50"/>
      <c r="E833" s="112" t="s">
        <v>20</v>
      </c>
      <c r="F833" s="191" t="s">
        <v>24</v>
      </c>
      <c r="G833" s="55"/>
    </row>
    <row r="834" spans="1:7" ht="13.5" thickBot="1">
      <c r="A834" s="33"/>
      <c r="B834" s="52"/>
      <c r="C834" s="50"/>
      <c r="D834" s="50"/>
      <c r="E834" s="254" t="s">
        <v>268</v>
      </c>
      <c r="F834" s="86">
        <v>1</v>
      </c>
      <c r="G834" s="55"/>
    </row>
    <row r="835" spans="1:7" ht="13.5" thickBot="1">
      <c r="A835" s="33"/>
      <c r="B835" s="52"/>
      <c r="C835" s="50"/>
      <c r="D835" s="50"/>
      <c r="E835" s="273" t="s">
        <v>2</v>
      </c>
      <c r="F835" s="195">
        <v>1</v>
      </c>
      <c r="G835" s="55"/>
    </row>
    <row r="836" spans="1:7" ht="13.5" thickBot="1">
      <c r="A836" s="33"/>
      <c r="B836" s="52"/>
      <c r="C836" s="50"/>
      <c r="D836" s="50"/>
      <c r="E836" s="50"/>
      <c r="F836" s="45"/>
      <c r="G836" s="55"/>
    </row>
    <row r="837" spans="1:7" ht="13.5" thickBot="1">
      <c r="A837" s="80" t="s">
        <v>450</v>
      </c>
      <c r="B837" s="548" t="str">
        <f>Planilha!C81</f>
        <v>TORNEIRA CROMADA DE MESA, 1/2 OU 3/4, PARA LAVATÓRIO, PADRÃO POPULAR FORNECIMENTO E INSTALAÇÃO. AF_01/2020</v>
      </c>
      <c r="C837" s="549"/>
      <c r="D837" s="549"/>
      <c r="E837" s="550"/>
      <c r="F837" s="81">
        <f>F843</f>
        <v>4</v>
      </c>
      <c r="G837" s="220" t="s">
        <v>93</v>
      </c>
    </row>
    <row r="838" spans="1:7" ht="12.75">
      <c r="A838" s="33"/>
      <c r="B838" s="34"/>
      <c r="C838" s="34"/>
      <c r="D838" s="34"/>
      <c r="E838" s="45"/>
      <c r="F838" s="52"/>
      <c r="G838" s="35"/>
    </row>
    <row r="839" spans="1:7" ht="12.75">
      <c r="A839" s="33"/>
      <c r="B839" s="52"/>
      <c r="C839" s="50"/>
      <c r="D839" s="50"/>
      <c r="E839" s="112" t="s">
        <v>20</v>
      </c>
      <c r="F839" s="191" t="s">
        <v>24</v>
      </c>
      <c r="G839" s="55"/>
    </row>
    <row r="840" spans="1:7" ht="12.75">
      <c r="A840" s="54"/>
      <c r="B840" s="52"/>
      <c r="C840" s="49"/>
      <c r="D840" s="51"/>
      <c r="E840" s="101" t="s">
        <v>203</v>
      </c>
      <c r="F840" s="110">
        <v>1</v>
      </c>
      <c r="G840" s="55"/>
    </row>
    <row r="841" spans="1:7" ht="12.75">
      <c r="A841" s="54"/>
      <c r="B841" s="52"/>
      <c r="C841" s="49"/>
      <c r="D841" s="51"/>
      <c r="E841" s="101" t="s">
        <v>54</v>
      </c>
      <c r="F841" s="110">
        <v>2</v>
      </c>
      <c r="G841" s="275"/>
    </row>
    <row r="842" spans="1:7" ht="13.5" thickBot="1">
      <c r="A842" s="54"/>
      <c r="B842" s="52"/>
      <c r="C842" s="49"/>
      <c r="D842" s="51"/>
      <c r="E842" s="101" t="s">
        <v>413</v>
      </c>
      <c r="F842" s="204">
        <v>1</v>
      </c>
      <c r="G842" s="55"/>
    </row>
    <row r="843" spans="1:7" ht="13.5" thickBot="1">
      <c r="A843" s="54"/>
      <c r="B843" s="34"/>
      <c r="C843" s="34"/>
      <c r="D843" s="34"/>
      <c r="E843" s="271" t="s">
        <v>2</v>
      </c>
      <c r="F843" s="270">
        <f>SUM(F840:F842)</f>
        <v>4</v>
      </c>
      <c r="G843" s="55"/>
    </row>
    <row r="844" spans="1:7" ht="13.5" thickBot="1">
      <c r="A844" s="54"/>
      <c r="B844" s="34"/>
      <c r="C844" s="34"/>
      <c r="D844" s="34"/>
      <c r="E844" s="274"/>
      <c r="F844" s="336"/>
      <c r="G844" s="55"/>
    </row>
    <row r="845" spans="1:7" ht="13.5" thickBot="1">
      <c r="A845" s="80" t="s">
        <v>451</v>
      </c>
      <c r="B845" s="548" t="str">
        <f>Planilha!C82</f>
        <v>TORNEIRA CROMADA 1/2 OU 3/4 PARA TANQUE, PADRÃO POPULAR - FORNECIMENTO E INSTALAÇÃO. AF_01/2020</v>
      </c>
      <c r="C845" s="549"/>
      <c r="D845" s="549"/>
      <c r="E845" s="550"/>
      <c r="F845" s="81">
        <f>F849</f>
        <v>2</v>
      </c>
      <c r="G845" s="220" t="s">
        <v>93</v>
      </c>
    </row>
    <row r="846" spans="1:7" ht="12.75">
      <c r="A846" s="54"/>
      <c r="B846" s="34"/>
      <c r="C846" s="34"/>
      <c r="D846" s="34"/>
      <c r="E846" s="337"/>
      <c r="F846" s="338"/>
      <c r="G846" s="55"/>
    </row>
    <row r="847" spans="1:7" ht="12.75">
      <c r="A847" s="54"/>
      <c r="B847" s="34"/>
      <c r="C847" s="34"/>
      <c r="D847" s="34"/>
      <c r="E847" s="112" t="s">
        <v>20</v>
      </c>
      <c r="F847" s="191" t="s">
        <v>24</v>
      </c>
      <c r="G847" s="55"/>
    </row>
    <row r="848" spans="1:7" ht="13.5" thickBot="1">
      <c r="A848" s="54"/>
      <c r="B848" s="34"/>
      <c r="C848" s="34"/>
      <c r="D848" s="34"/>
      <c r="E848" s="254" t="s">
        <v>268</v>
      </c>
      <c r="F848" s="86">
        <v>2</v>
      </c>
      <c r="G848" s="55"/>
    </row>
    <row r="849" spans="1:7" ht="13.5" thickBot="1">
      <c r="A849" s="54"/>
      <c r="B849" s="34"/>
      <c r="C849" s="34"/>
      <c r="D849" s="34"/>
      <c r="E849" s="273" t="s">
        <v>2</v>
      </c>
      <c r="F849" s="195">
        <v>2</v>
      </c>
      <c r="G849" s="55"/>
    </row>
    <row r="850" spans="1:7" ht="13.5" thickBot="1">
      <c r="A850" s="54"/>
      <c r="B850" s="34"/>
      <c r="C850" s="34"/>
      <c r="D850" s="34"/>
      <c r="E850" s="274"/>
      <c r="F850" s="195"/>
      <c r="G850" s="55"/>
    </row>
    <row r="851" spans="1:7" ht="29.25" customHeight="1" thickBot="1">
      <c r="A851" s="80" t="s">
        <v>504</v>
      </c>
      <c r="B851" s="548" t="str">
        <f>Planilha!C83</f>
        <v>TORNEIRA CROMADA TUBO MÓVEL, DE MESA, 1/2 OU 3/4, PARA PIA DE COZINHA, PADRÃO ALTO - FORNECIMENTO E INSTALAÇÃO. AF_01/2020</v>
      </c>
      <c r="C851" s="549"/>
      <c r="D851" s="549"/>
      <c r="E851" s="550"/>
      <c r="F851" s="81">
        <f>F855</f>
        <v>1</v>
      </c>
      <c r="G851" s="220" t="s">
        <v>93</v>
      </c>
    </row>
    <row r="852" spans="1:7" ht="12.75">
      <c r="A852" s="54"/>
      <c r="B852" s="34"/>
      <c r="C852" s="34"/>
      <c r="D852" s="34"/>
      <c r="E852" s="337"/>
      <c r="F852" s="338"/>
      <c r="G852" s="55"/>
    </row>
    <row r="853" spans="1:7" ht="12.75">
      <c r="A853" s="54"/>
      <c r="B853" s="34"/>
      <c r="C853" s="34"/>
      <c r="D853" s="34"/>
      <c r="E853" s="112" t="s">
        <v>20</v>
      </c>
      <c r="F853" s="191" t="s">
        <v>24</v>
      </c>
      <c r="G853" s="55"/>
    </row>
    <row r="854" spans="1:7" ht="13.5" thickBot="1">
      <c r="A854" s="54"/>
      <c r="B854" s="34"/>
      <c r="C854" s="34"/>
      <c r="D854" s="34"/>
      <c r="E854" s="254" t="s">
        <v>208</v>
      </c>
      <c r="F854" s="86">
        <v>1</v>
      </c>
      <c r="G854" s="55"/>
    </row>
    <row r="855" spans="1:7" ht="13.5" thickBot="1">
      <c r="A855" s="54"/>
      <c r="B855" s="34"/>
      <c r="C855" s="34"/>
      <c r="D855" s="34"/>
      <c r="E855" s="273" t="s">
        <v>2</v>
      </c>
      <c r="F855" s="195">
        <v>1</v>
      </c>
      <c r="G855" s="55"/>
    </row>
    <row r="856" spans="1:7" ht="13.5" thickBot="1">
      <c r="A856" s="54"/>
      <c r="B856" s="34"/>
      <c r="C856" s="34"/>
      <c r="D856" s="34"/>
      <c r="E856" s="252"/>
      <c r="F856" s="489"/>
      <c r="G856" s="55"/>
    </row>
    <row r="857" spans="1:7" ht="46.5" customHeight="1" thickBot="1">
      <c r="A857" s="80" t="s">
        <v>505</v>
      </c>
      <c r="B857" s="548" t="str">
        <f>Planilha!C84</f>
        <v>BARRA DE APOIO RETA, EM ALUMINIO, COMPRIMENTO 80 CM, FIXADA NA PAREDE - FORNECIMENTO E INSTALAÇÃO. AF_01/2020</v>
      </c>
      <c r="C857" s="549"/>
      <c r="D857" s="549"/>
      <c r="E857" s="550"/>
      <c r="F857" s="81">
        <f>F861</f>
        <v>1</v>
      </c>
      <c r="G857" s="220" t="s">
        <v>93</v>
      </c>
    </row>
    <row r="858" spans="1:7" ht="12.75">
      <c r="A858" s="54"/>
      <c r="B858" s="34"/>
      <c r="C858" s="34"/>
      <c r="D858" s="34"/>
      <c r="E858" s="337"/>
      <c r="F858" s="338"/>
      <c r="G858" s="55"/>
    </row>
    <row r="859" spans="1:7" ht="12.75">
      <c r="A859" s="54"/>
      <c r="B859" s="34"/>
      <c r="C859" s="34"/>
      <c r="D859" s="34"/>
      <c r="E859" s="112" t="s">
        <v>20</v>
      </c>
      <c r="F859" s="191" t="s">
        <v>24</v>
      </c>
      <c r="G859" s="55"/>
    </row>
    <row r="860" spans="1:7" ht="13.5" thickBot="1">
      <c r="A860" s="54"/>
      <c r="B860" s="34"/>
      <c r="C860" s="34"/>
      <c r="D860" s="34"/>
      <c r="E860" s="254" t="s">
        <v>208</v>
      </c>
      <c r="F860" s="86">
        <v>1</v>
      </c>
      <c r="G860" s="55"/>
    </row>
    <row r="861" spans="1:7" ht="13.5" thickBot="1">
      <c r="A861" s="54"/>
      <c r="B861" s="34"/>
      <c r="C861" s="34"/>
      <c r="D861" s="34"/>
      <c r="E861" s="273" t="s">
        <v>2</v>
      </c>
      <c r="F861" s="195">
        <v>1</v>
      </c>
      <c r="G861" s="55"/>
    </row>
    <row r="862" spans="1:7" ht="12.75">
      <c r="A862" s="54"/>
      <c r="B862" s="34"/>
      <c r="C862" s="34"/>
      <c r="D862" s="34"/>
      <c r="E862" s="252"/>
      <c r="F862" s="489"/>
      <c r="G862" s="55"/>
    </row>
    <row r="863" spans="1:7" ht="13.5" thickBot="1">
      <c r="A863" s="54"/>
      <c r="B863" s="34"/>
      <c r="C863" s="34"/>
      <c r="D863" s="34"/>
      <c r="E863" s="45"/>
      <c r="F863" s="489"/>
      <c r="G863" s="55"/>
    </row>
    <row r="864" spans="1:7" ht="13.5" thickBot="1">
      <c r="A864" s="80" t="s">
        <v>506</v>
      </c>
      <c r="B864" s="548" t="s">
        <v>44</v>
      </c>
      <c r="C864" s="549"/>
      <c r="D864" s="549"/>
      <c r="E864" s="550"/>
      <c r="F864" s="81">
        <f>F868</f>
        <v>3</v>
      </c>
      <c r="G864" s="220" t="s">
        <v>93</v>
      </c>
    </row>
    <row r="865" spans="1:7" ht="12.75">
      <c r="A865" s="33"/>
      <c r="B865" s="34"/>
      <c r="C865" s="34"/>
      <c r="D865" s="34"/>
      <c r="E865" s="45"/>
      <c r="F865" s="52"/>
      <c r="G865" s="35"/>
    </row>
    <row r="866" spans="1:7" ht="12.75">
      <c r="A866" s="33"/>
      <c r="B866" s="52"/>
      <c r="C866" s="50"/>
      <c r="D866" s="50"/>
      <c r="E866" s="112" t="s">
        <v>20</v>
      </c>
      <c r="F866" s="191" t="s">
        <v>24</v>
      </c>
      <c r="G866" s="55"/>
    </row>
    <row r="867" spans="1:7" ht="13.5" thickBot="1">
      <c r="A867" s="54"/>
      <c r="B867" s="52"/>
      <c r="C867" s="49"/>
      <c r="D867" s="51"/>
      <c r="E867" s="254" t="s">
        <v>203</v>
      </c>
      <c r="F867" s="255">
        <v>3</v>
      </c>
      <c r="G867" s="55"/>
    </row>
    <row r="868" spans="1:7" ht="13.5" thickBot="1">
      <c r="A868" s="54"/>
      <c r="B868" s="52"/>
      <c r="C868" s="49"/>
      <c r="D868" s="51"/>
      <c r="E868" s="273" t="s">
        <v>2</v>
      </c>
      <c r="F868" s="272">
        <v>3</v>
      </c>
      <c r="G868" s="55"/>
    </row>
    <row r="869" spans="1:7" ht="13.5" thickBot="1">
      <c r="A869" s="54"/>
      <c r="B869" s="52"/>
      <c r="C869" s="49"/>
      <c r="D869" s="51"/>
      <c r="E869" s="252"/>
      <c r="F869" s="253"/>
      <c r="G869" s="55"/>
    </row>
    <row r="870" spans="1:7" ht="26.25" customHeight="1" thickBot="1">
      <c r="A870" s="80" t="s">
        <v>507</v>
      </c>
      <c r="B870" s="548" t="str">
        <f>Planilha!C86</f>
        <v>CHUVEIRO ELÉTRICO COMUM CORPO PLÁSTICO, TIPO DUCHA FORNECIMENTO E INSTALAÇÃO. AF_01/2020</v>
      </c>
      <c r="C870" s="549"/>
      <c r="D870" s="549"/>
      <c r="E870" s="550"/>
      <c r="F870" s="81">
        <f>F875</f>
        <v>2</v>
      </c>
      <c r="G870" s="220" t="s">
        <v>93</v>
      </c>
    </row>
    <row r="871" spans="1:7" ht="12.75">
      <c r="A871" s="54"/>
      <c r="B871" s="52"/>
      <c r="C871" s="49"/>
      <c r="D871" s="51"/>
      <c r="E871" s="252"/>
      <c r="F871" s="253"/>
      <c r="G871" s="55"/>
    </row>
    <row r="872" spans="1:7" ht="12.75">
      <c r="A872" s="54"/>
      <c r="B872" s="52"/>
      <c r="C872" s="49"/>
      <c r="D872" s="51"/>
      <c r="E872" s="112" t="s">
        <v>20</v>
      </c>
      <c r="F872" s="191" t="s">
        <v>24</v>
      </c>
      <c r="G872" s="55"/>
    </row>
    <row r="873" spans="1:7" ht="12.75">
      <c r="A873" s="54"/>
      <c r="B873" s="52"/>
      <c r="C873" s="49"/>
      <c r="D873" s="51"/>
      <c r="E873" s="254" t="s">
        <v>416</v>
      </c>
      <c r="F873" s="204">
        <v>1</v>
      </c>
      <c r="G873" s="55"/>
    </row>
    <row r="874" spans="1:7" ht="13.5" thickBot="1">
      <c r="A874" s="54"/>
      <c r="B874" s="34"/>
      <c r="C874" s="34"/>
      <c r="D874" s="34"/>
      <c r="E874" s="254" t="s">
        <v>413</v>
      </c>
      <c r="F874" s="255">
        <v>1</v>
      </c>
      <c r="G874" s="55"/>
    </row>
    <row r="875" spans="1:7" ht="13.5" thickBot="1">
      <c r="A875" s="54"/>
      <c r="B875" s="34"/>
      <c r="C875" s="34"/>
      <c r="D875" s="34"/>
      <c r="E875" s="273" t="s">
        <v>2</v>
      </c>
      <c r="F875" s="270">
        <f>SUM(F873:F874)</f>
        <v>2</v>
      </c>
      <c r="G875" s="55"/>
    </row>
    <row r="876" spans="1:7" ht="13.5" thickBot="1">
      <c r="A876" s="54"/>
      <c r="B876" s="34"/>
      <c r="C876" s="34"/>
      <c r="D876" s="34"/>
      <c r="E876" s="50"/>
      <c r="F876" s="269"/>
      <c r="G876" s="55"/>
    </row>
    <row r="877" spans="1:7" ht="13.5" thickBot="1">
      <c r="A877" s="80" t="s">
        <v>508</v>
      </c>
      <c r="B877" s="548" t="str">
        <f>Planilha!C87</f>
        <v>BANCADA EM GRANITO CINZA ANDORINHA E = 3 CM, APOIADA EM
ALVENARIA</v>
      </c>
      <c r="C877" s="549"/>
      <c r="D877" s="549"/>
      <c r="E877" s="550"/>
      <c r="F877" s="81">
        <f>E881</f>
        <v>1.44</v>
      </c>
      <c r="G877" s="80" t="s">
        <v>19</v>
      </c>
    </row>
    <row r="878" spans="1:7" ht="12.75">
      <c r="A878" s="33"/>
      <c r="B878" s="34"/>
      <c r="C878" s="34"/>
      <c r="D878" s="34"/>
      <c r="E878" s="45"/>
      <c r="F878" s="52"/>
      <c r="G878" s="35"/>
    </row>
    <row r="879" spans="1:7" ht="12.75">
      <c r="A879" s="485"/>
      <c r="B879" s="112" t="s">
        <v>20</v>
      </c>
      <c r="C879" s="112" t="s">
        <v>21</v>
      </c>
      <c r="D879" s="112" t="s">
        <v>26</v>
      </c>
      <c r="E879" s="112" t="s">
        <v>23</v>
      </c>
      <c r="F879" s="34"/>
      <c r="G879" s="35"/>
    </row>
    <row r="880" spans="1:7" ht="13.5" thickBot="1">
      <c r="A880" s="485"/>
      <c r="B880" s="104" t="s">
        <v>285</v>
      </c>
      <c r="C880" s="105">
        <v>0.6</v>
      </c>
      <c r="D880" s="105">
        <v>2.4</v>
      </c>
      <c r="E880" s="105">
        <f>C880*D880</f>
        <v>1.44</v>
      </c>
      <c r="F880" s="34"/>
      <c r="G880" s="35"/>
    </row>
    <row r="881" spans="1:7" ht="13.5" thickBot="1">
      <c r="A881" s="33"/>
      <c r="B881" s="34"/>
      <c r="C881" s="34"/>
      <c r="D881" s="78" t="s">
        <v>2</v>
      </c>
      <c r="E881" s="205">
        <f>SUM(E880:E880)</f>
        <v>1.44</v>
      </c>
      <c r="F881" s="34"/>
      <c r="G881" s="35"/>
    </row>
    <row r="882" spans="1:7" ht="13.5" thickBot="1">
      <c r="A882" s="33"/>
      <c r="B882" s="34"/>
      <c r="C882" s="34"/>
      <c r="D882" s="489"/>
      <c r="E882" s="37"/>
      <c r="F882" s="34"/>
      <c r="G882" s="35"/>
    </row>
    <row r="883" spans="1:7" ht="13.5" thickBot="1">
      <c r="A883" s="347">
        <v>12</v>
      </c>
      <c r="B883" s="571" t="s">
        <v>121</v>
      </c>
      <c r="C883" s="572"/>
      <c r="D883" s="572"/>
      <c r="E883" s="572"/>
      <c r="F883" s="572"/>
      <c r="G883" s="573"/>
    </row>
    <row r="884" spans="1:7" ht="13.5" thickBot="1">
      <c r="A884" s="54"/>
      <c r="B884" s="34"/>
      <c r="C884" s="34"/>
      <c r="D884" s="34"/>
      <c r="E884" s="343"/>
      <c r="F884" s="344"/>
      <c r="G884" s="35"/>
    </row>
    <row r="885" spans="1:7" ht="13.5" thickBot="1">
      <c r="A885" s="80" t="s">
        <v>72</v>
      </c>
      <c r="B885" s="548" t="str">
        <f>Planilha!C89</f>
        <v>COMPOSIÇÃO PARAMÉTRICA DE PONTO ELÉTRICO DE ILUMINAÇÃO, COM INTERRUPTOR SIMPLES, EM EDIFÍCIO RESIDENCIAL COM ELETRODUTO EMBUTIDO EM RASGOS NAS PAREDES, INCLUSO TOMADA, ELETRODUTO, CABO, RASGO E CHUMBAMENTO (SEM LUMINÁRIA E LÂMPADA). AF_11/2022</v>
      </c>
      <c r="C885" s="549"/>
      <c r="D885" s="549"/>
      <c r="E885" s="550"/>
      <c r="F885" s="81">
        <f>F894</f>
        <v>10</v>
      </c>
      <c r="G885" s="80" t="s">
        <v>29</v>
      </c>
    </row>
    <row r="886" spans="1:7" ht="12.75">
      <c r="A886" s="33"/>
      <c r="B886" s="34"/>
      <c r="C886" s="34"/>
      <c r="D886" s="34"/>
      <c r="E886" s="45"/>
      <c r="F886" s="52"/>
      <c r="G886" s="35"/>
    </row>
    <row r="887" spans="1:7" ht="12.75">
      <c r="A887" s="33"/>
      <c r="B887" s="52"/>
      <c r="C887" s="50"/>
      <c r="D887" s="50"/>
      <c r="E887" s="112" t="s">
        <v>20</v>
      </c>
      <c r="F887" s="191" t="s">
        <v>24</v>
      </c>
      <c r="G887" s="55"/>
    </row>
    <row r="888" spans="1:7" ht="12.75">
      <c r="A888" s="54"/>
      <c r="B888" s="52"/>
      <c r="C888" s="49"/>
      <c r="D888" s="51"/>
      <c r="E888" s="104" t="s">
        <v>251</v>
      </c>
      <c r="F888" s="255">
        <v>2</v>
      </c>
      <c r="G888" s="55"/>
    </row>
    <row r="889" spans="1:7" ht="12.75">
      <c r="A889" s="54"/>
      <c r="B889" s="52"/>
      <c r="C889" s="49"/>
      <c r="D889" s="51"/>
      <c r="E889" s="104" t="s">
        <v>203</v>
      </c>
      <c r="F889" s="255">
        <v>1</v>
      </c>
      <c r="G889" s="55"/>
    </row>
    <row r="890" spans="1:7" ht="12.75">
      <c r="A890" s="54"/>
      <c r="B890" s="52"/>
      <c r="C890" s="49"/>
      <c r="D890" s="51"/>
      <c r="E890" s="104" t="s">
        <v>357</v>
      </c>
      <c r="F890" s="255">
        <v>1</v>
      </c>
      <c r="G890" s="55"/>
    </row>
    <row r="891" spans="1:7" ht="12.75">
      <c r="A891" s="54"/>
      <c r="B891" s="52"/>
      <c r="C891" s="49"/>
      <c r="D891" s="51"/>
      <c r="E891" s="104" t="s">
        <v>358</v>
      </c>
      <c r="F891" s="111">
        <v>1</v>
      </c>
      <c r="G891" s="55"/>
    </row>
    <row r="892" spans="1:7" ht="12.75">
      <c r="A892" s="54"/>
      <c r="B892" s="52"/>
      <c r="C892" s="49"/>
      <c r="D892" s="51"/>
      <c r="E892" s="76" t="s">
        <v>252</v>
      </c>
      <c r="F892" s="255">
        <v>1</v>
      </c>
      <c r="G892" s="55"/>
    </row>
    <row r="893" spans="1:7" ht="13.5" thickBot="1">
      <c r="A893" s="54"/>
      <c r="B893" s="52"/>
      <c r="C893" s="49"/>
      <c r="D893" s="51"/>
      <c r="E893" s="76" t="s">
        <v>446</v>
      </c>
      <c r="F893" s="255">
        <v>4</v>
      </c>
      <c r="G893" s="55"/>
    </row>
    <row r="894" spans="1:7" ht="13.5" thickBot="1">
      <c r="A894" s="33"/>
      <c r="B894" s="34"/>
      <c r="C894" s="34"/>
      <c r="D894" s="34"/>
      <c r="E894" s="78" t="s">
        <v>2</v>
      </c>
      <c r="F894" s="216">
        <f>SUM(F888:F893)</f>
        <v>10</v>
      </c>
      <c r="G894" s="74"/>
    </row>
    <row r="895" spans="1:7" ht="13.5" thickBot="1">
      <c r="A895" s="33"/>
      <c r="B895" s="34"/>
      <c r="C895" s="34"/>
      <c r="D895" s="34"/>
      <c r="E895" s="56"/>
      <c r="F895" s="75"/>
      <c r="G895" s="35"/>
    </row>
    <row r="896" spans="1:7" ht="13.5" thickBot="1">
      <c r="A896" s="80" t="s">
        <v>73</v>
      </c>
      <c r="B896" s="548" t="str">
        <f>Planilha!C90</f>
        <v>COMPOSIÇÃO PARAMÉTRICA DE PONTO ELÉTRICO DE TOMADA DE USO GERAL 2P+T10A/250V) EM EDIFÍCIO RESIDENCIAL COM ELETRODUTO EMBUTIDO EM RASGOS NAS PAREDES, INCLUSO TOMADA, ELETRODUTO, CABO, RASGO, QUEBRA E CHUMBAMENTO. AF_11/2022</v>
      </c>
      <c r="C896" s="549"/>
      <c r="D896" s="549"/>
      <c r="E896" s="550"/>
      <c r="F896" s="81">
        <f>F912</f>
        <v>30</v>
      </c>
      <c r="G896" s="80" t="s">
        <v>29</v>
      </c>
    </row>
    <row r="897" spans="1:7" ht="12.75">
      <c r="A897" s="33"/>
      <c r="B897" s="34"/>
      <c r="C897" s="34"/>
      <c r="D897" s="34"/>
      <c r="E897" s="45"/>
      <c r="F897" s="52"/>
      <c r="G897" s="35"/>
    </row>
    <row r="898" spans="1:7" ht="12.75">
      <c r="A898" s="33"/>
      <c r="B898" s="52"/>
      <c r="C898" s="50"/>
      <c r="D898" s="50"/>
      <c r="E898" s="112" t="s">
        <v>20</v>
      </c>
      <c r="F898" s="191" t="s">
        <v>24</v>
      </c>
      <c r="G898" s="55"/>
    </row>
    <row r="899" spans="1:7" ht="12.75">
      <c r="A899" s="33"/>
      <c r="B899" s="52"/>
      <c r="C899" s="50"/>
      <c r="D899" s="50"/>
      <c r="E899" s="101" t="s">
        <v>206</v>
      </c>
      <c r="F899" s="204">
        <v>1</v>
      </c>
      <c r="G899" s="55"/>
    </row>
    <row r="900" spans="1:7" ht="12.75">
      <c r="A900" s="33"/>
      <c r="B900" s="52"/>
      <c r="C900" s="50"/>
      <c r="D900" s="50"/>
      <c r="E900" s="101" t="s">
        <v>257</v>
      </c>
      <c r="F900" s="204">
        <v>3</v>
      </c>
      <c r="G900" s="55"/>
    </row>
    <row r="901" spans="1:7" ht="12.75">
      <c r="A901" s="33"/>
      <c r="B901" s="52"/>
      <c r="C901" s="50"/>
      <c r="D901" s="50"/>
      <c r="E901" s="101" t="s">
        <v>367</v>
      </c>
      <c r="F901" s="204">
        <v>2</v>
      </c>
      <c r="G901" s="55"/>
    </row>
    <row r="902" spans="1:7" ht="12.75">
      <c r="A902" s="54"/>
      <c r="B902" s="52"/>
      <c r="C902" s="49"/>
      <c r="D902" s="51"/>
      <c r="E902" s="104" t="s">
        <v>359</v>
      </c>
      <c r="F902" s="255">
        <v>2</v>
      </c>
      <c r="G902" s="55"/>
    </row>
    <row r="903" spans="1:7" ht="12.75">
      <c r="A903" s="54"/>
      <c r="B903" s="52"/>
      <c r="C903" s="49"/>
      <c r="D903" s="51"/>
      <c r="E903" s="104" t="s">
        <v>208</v>
      </c>
      <c r="F903" s="255">
        <v>2</v>
      </c>
      <c r="G903" s="55"/>
    </row>
    <row r="904" spans="1:7" ht="12.75">
      <c r="A904" s="54"/>
      <c r="B904" s="52"/>
      <c r="C904" s="49"/>
      <c r="D904" s="51"/>
      <c r="E904" s="104" t="s">
        <v>201</v>
      </c>
      <c r="F904" s="255">
        <v>4</v>
      </c>
      <c r="G904" s="55"/>
    </row>
    <row r="905" spans="1:7" ht="12.75">
      <c r="A905" s="54"/>
      <c r="B905" s="52"/>
      <c r="C905" s="49"/>
      <c r="D905" s="51"/>
      <c r="E905" s="104" t="s">
        <v>216</v>
      </c>
      <c r="F905" s="111">
        <v>3</v>
      </c>
      <c r="G905" s="55"/>
    </row>
    <row r="906" spans="1:7" ht="12.75">
      <c r="A906" s="54"/>
      <c r="B906" s="52"/>
      <c r="C906" s="49"/>
      <c r="D906" s="345"/>
      <c r="E906" s="104" t="s">
        <v>256</v>
      </c>
      <c r="F906" s="111">
        <v>1</v>
      </c>
      <c r="G906" s="55"/>
    </row>
    <row r="907" spans="1:7" ht="12.75">
      <c r="A907" s="54"/>
      <c r="B907" s="52"/>
      <c r="C907" s="49"/>
      <c r="D907" s="345"/>
      <c r="E907" s="104" t="s">
        <v>205</v>
      </c>
      <c r="F907" s="111">
        <v>2</v>
      </c>
      <c r="G907" s="55"/>
    </row>
    <row r="908" spans="1:7" ht="12.75">
      <c r="A908" s="54"/>
      <c r="B908" s="52"/>
      <c r="C908" s="49"/>
      <c r="D908" s="345"/>
      <c r="E908" s="104" t="s">
        <v>368</v>
      </c>
      <c r="F908" s="111">
        <v>3</v>
      </c>
      <c r="G908" s="55"/>
    </row>
    <row r="909" spans="1:7" ht="12.75">
      <c r="A909" s="54"/>
      <c r="B909" s="52"/>
      <c r="C909" s="49"/>
      <c r="D909" s="345"/>
      <c r="E909" s="76" t="s">
        <v>214</v>
      </c>
      <c r="F909" s="255">
        <v>2</v>
      </c>
      <c r="G909" s="55"/>
    </row>
    <row r="910" spans="1:7" ht="12.75">
      <c r="A910" s="54"/>
      <c r="B910" s="52"/>
      <c r="C910" s="49"/>
      <c r="D910" s="345"/>
      <c r="E910" s="76" t="s">
        <v>219</v>
      </c>
      <c r="F910" s="255">
        <v>3</v>
      </c>
      <c r="G910" s="55"/>
    </row>
    <row r="911" spans="1:7" ht="13.5" thickBot="1">
      <c r="A911" s="54"/>
      <c r="B911" s="52"/>
      <c r="C911" s="49"/>
      <c r="D911" s="51"/>
      <c r="E911" s="76" t="s">
        <v>389</v>
      </c>
      <c r="F911" s="255">
        <v>2</v>
      </c>
      <c r="G911" s="55"/>
    </row>
    <row r="912" spans="1:7" ht="13.5" thickBot="1">
      <c r="A912" s="33"/>
      <c r="B912" s="34"/>
      <c r="C912" s="34"/>
      <c r="D912" s="34"/>
      <c r="E912" s="346" t="s">
        <v>2</v>
      </c>
      <c r="F912" s="348">
        <f>SUM(F899:F911)</f>
        <v>30</v>
      </c>
      <c r="G912" s="35"/>
    </row>
    <row r="913" spans="1:7" ht="13.5" thickBot="1">
      <c r="A913" s="33"/>
      <c r="B913" s="34"/>
      <c r="C913" s="34"/>
      <c r="D913" s="34"/>
      <c r="E913" s="56"/>
      <c r="F913" s="75"/>
      <c r="G913" s="35"/>
    </row>
    <row r="914" spans="1:7" ht="13.5" thickBot="1">
      <c r="A914" s="80" t="s">
        <v>74</v>
      </c>
      <c r="B914" s="548" t="str">
        <f>Planilha!C91</f>
        <v>LUMINÁRIA TIPO PLAFON EM PLÁSTICO, DE SOBREPOR, COM 1 LÂMPADA FLUORESCENTE DE 15 W, SEM REATOR - FORNECIMENTO E INSTALAÇÃO. AF_02/2020</v>
      </c>
      <c r="C914" s="549"/>
      <c r="D914" s="549"/>
      <c r="E914" s="550"/>
      <c r="F914" s="81">
        <f>F936</f>
        <v>23</v>
      </c>
      <c r="G914" s="80" t="s">
        <v>29</v>
      </c>
    </row>
    <row r="915" spans="1:7" ht="8.25" customHeight="1" hidden="1" thickBot="1">
      <c r="A915" s="33"/>
      <c r="B915" s="34"/>
      <c r="C915" s="34"/>
      <c r="D915" s="34"/>
      <c r="E915" s="45"/>
      <c r="F915" s="52"/>
      <c r="G915" s="35"/>
    </row>
    <row r="916" spans="1:7" ht="12.75">
      <c r="A916" s="33"/>
      <c r="B916" s="52"/>
      <c r="C916" s="50"/>
      <c r="D916" s="50"/>
      <c r="E916" s="112" t="s">
        <v>20</v>
      </c>
      <c r="F916" s="191" t="s">
        <v>24</v>
      </c>
      <c r="G916" s="55"/>
    </row>
    <row r="917" spans="1:7" ht="12.75">
      <c r="A917" s="54"/>
      <c r="B917" s="52"/>
      <c r="C917" s="49"/>
      <c r="D917" s="51"/>
      <c r="E917" s="104" t="s">
        <v>360</v>
      </c>
      <c r="F917" s="111">
        <v>1</v>
      </c>
      <c r="G917" s="55"/>
    </row>
    <row r="918" spans="1:7" ht="12.75">
      <c r="A918" s="54"/>
      <c r="B918" s="52"/>
      <c r="C918" s="49"/>
      <c r="D918" s="51"/>
      <c r="E918" s="104" t="s">
        <v>211</v>
      </c>
      <c r="F918" s="111">
        <v>1</v>
      </c>
      <c r="G918" s="55"/>
    </row>
    <row r="919" spans="1:7" ht="12.75">
      <c r="A919" s="54"/>
      <c r="B919" s="52"/>
      <c r="C919" s="49"/>
      <c r="D919" s="51"/>
      <c r="E919" s="104" t="s">
        <v>255</v>
      </c>
      <c r="F919" s="111">
        <v>2</v>
      </c>
      <c r="G919" s="55"/>
    </row>
    <row r="920" spans="1:7" ht="12.75">
      <c r="A920" s="54"/>
      <c r="B920" s="52"/>
      <c r="C920" s="49"/>
      <c r="D920" s="51"/>
      <c r="E920" s="104" t="s">
        <v>206</v>
      </c>
      <c r="F920" s="111">
        <v>1</v>
      </c>
      <c r="G920" s="55"/>
    </row>
    <row r="921" spans="1:7" ht="12.75">
      <c r="A921" s="54"/>
      <c r="B921" s="34"/>
      <c r="C921" s="34"/>
      <c r="D921" s="34"/>
      <c r="E921" s="104" t="s">
        <v>447</v>
      </c>
      <c r="F921" s="111">
        <v>1</v>
      </c>
      <c r="G921" s="55"/>
    </row>
    <row r="922" spans="1:7" ht="12.75">
      <c r="A922" s="54"/>
      <c r="B922" s="34"/>
      <c r="C922" s="34"/>
      <c r="D922" s="34"/>
      <c r="E922" s="104" t="s">
        <v>388</v>
      </c>
      <c r="F922" s="111">
        <v>1</v>
      </c>
      <c r="G922" s="55"/>
    </row>
    <row r="923" spans="1:7" ht="12.75">
      <c r="A923" s="54"/>
      <c r="B923" s="34"/>
      <c r="C923" s="34"/>
      <c r="D923" s="34"/>
      <c r="E923" s="104" t="s">
        <v>203</v>
      </c>
      <c r="F923" s="111">
        <v>1</v>
      </c>
      <c r="G923" s="55"/>
    </row>
    <row r="924" spans="1:7" ht="12.75">
      <c r="A924" s="54"/>
      <c r="B924" s="34"/>
      <c r="C924" s="34"/>
      <c r="D924" s="34"/>
      <c r="E924" s="104" t="s">
        <v>222</v>
      </c>
      <c r="F924" s="111">
        <v>1</v>
      </c>
      <c r="G924" s="55"/>
    </row>
    <row r="925" spans="1:7" ht="12.75">
      <c r="A925" s="54"/>
      <c r="B925" s="34"/>
      <c r="C925" s="34"/>
      <c r="D925" s="34"/>
      <c r="E925" s="104" t="s">
        <v>448</v>
      </c>
      <c r="F925" s="111">
        <v>1</v>
      </c>
      <c r="G925" s="55"/>
    </row>
    <row r="926" spans="1:7" ht="12.75">
      <c r="A926" s="54"/>
      <c r="B926" s="34"/>
      <c r="C926" s="34"/>
      <c r="D926" s="34"/>
      <c r="E926" s="104" t="s">
        <v>361</v>
      </c>
      <c r="F926" s="111">
        <v>1</v>
      </c>
      <c r="G926" s="55"/>
    </row>
    <row r="927" spans="1:7" ht="12.75">
      <c r="A927" s="54"/>
      <c r="B927" s="34"/>
      <c r="C927" s="34"/>
      <c r="D927" s="34"/>
      <c r="E927" s="104" t="s">
        <v>428</v>
      </c>
      <c r="F927" s="111">
        <v>1</v>
      </c>
      <c r="G927" s="55"/>
    </row>
    <row r="928" spans="1:7" ht="12.75">
      <c r="A928" s="54"/>
      <c r="B928" s="34"/>
      <c r="C928" s="34"/>
      <c r="D928" s="34"/>
      <c r="E928" s="104" t="s">
        <v>201</v>
      </c>
      <c r="F928" s="111">
        <v>1</v>
      </c>
      <c r="G928" s="55"/>
    </row>
    <row r="929" spans="1:7" ht="12.75">
      <c r="A929" s="54"/>
      <c r="B929" s="34"/>
      <c r="C929" s="34"/>
      <c r="D929" s="34"/>
      <c r="E929" s="104" t="s">
        <v>362</v>
      </c>
      <c r="F929" s="111">
        <v>1</v>
      </c>
      <c r="G929" s="55"/>
    </row>
    <row r="930" spans="1:7" ht="12.75">
      <c r="A930" s="54"/>
      <c r="B930" s="34"/>
      <c r="C930" s="34"/>
      <c r="D930" s="34"/>
      <c r="E930" s="104" t="s">
        <v>217</v>
      </c>
      <c r="F930" s="111">
        <v>1</v>
      </c>
      <c r="G930" s="55"/>
    </row>
    <row r="931" spans="1:7" ht="12.75">
      <c r="A931" s="54"/>
      <c r="B931" s="34"/>
      <c r="C931" s="34"/>
      <c r="D931" s="34"/>
      <c r="E931" s="104" t="s">
        <v>252</v>
      </c>
      <c r="F931" s="111">
        <v>1</v>
      </c>
      <c r="G931" s="55"/>
    </row>
    <row r="932" spans="1:7" ht="12.75">
      <c r="A932" s="54"/>
      <c r="B932" s="34"/>
      <c r="C932" s="34"/>
      <c r="D932" s="34"/>
      <c r="E932" s="104" t="s">
        <v>268</v>
      </c>
      <c r="F932" s="111">
        <v>1</v>
      </c>
      <c r="G932" s="55"/>
    </row>
    <row r="933" spans="1:7" ht="12.75">
      <c r="A933" s="54"/>
      <c r="B933" s="34"/>
      <c r="C933" s="34"/>
      <c r="D933" s="34"/>
      <c r="E933" s="104" t="s">
        <v>218</v>
      </c>
      <c r="F933" s="111">
        <v>1</v>
      </c>
      <c r="G933" s="55"/>
    </row>
    <row r="934" spans="1:7" ht="12.75">
      <c r="A934" s="54"/>
      <c r="B934" s="34"/>
      <c r="C934" s="34"/>
      <c r="D934" s="34"/>
      <c r="E934" s="104" t="s">
        <v>219</v>
      </c>
      <c r="F934" s="111">
        <v>1</v>
      </c>
      <c r="G934" s="55"/>
    </row>
    <row r="935" spans="1:7" ht="13.5" thickBot="1">
      <c r="A935" s="54"/>
      <c r="B935" s="34"/>
      <c r="C935" s="34"/>
      <c r="D935" s="34"/>
      <c r="E935" s="104" t="s">
        <v>389</v>
      </c>
      <c r="F935" s="111">
        <v>4</v>
      </c>
      <c r="G935" s="55"/>
    </row>
    <row r="936" spans="1:7" ht="13.5" thickBot="1">
      <c r="A936" s="33"/>
      <c r="B936" s="34"/>
      <c r="C936" s="34"/>
      <c r="D936" s="34"/>
      <c r="E936" s="78" t="s">
        <v>2</v>
      </c>
      <c r="F936" s="216">
        <f>SUM(F917:F935)</f>
        <v>23</v>
      </c>
      <c r="G936" s="74"/>
    </row>
    <row r="937" spans="1:7" ht="13.5" thickBot="1">
      <c r="A937" s="33"/>
      <c r="B937" s="34"/>
      <c r="C937" s="34"/>
      <c r="D937" s="34"/>
      <c r="E937" s="489"/>
      <c r="F937" s="395"/>
      <c r="G937" s="35"/>
    </row>
    <row r="938" spans="1:7" ht="13.5" thickBot="1">
      <c r="A938" s="347">
        <v>13</v>
      </c>
      <c r="B938" s="571" t="s">
        <v>473</v>
      </c>
      <c r="C938" s="572"/>
      <c r="D938" s="572"/>
      <c r="E938" s="572"/>
      <c r="F938" s="572"/>
      <c r="G938" s="573"/>
    </row>
    <row r="939" spans="1:7" ht="13.5" thickBot="1">
      <c r="A939" s="33"/>
      <c r="B939" s="34"/>
      <c r="C939" s="34"/>
      <c r="D939" s="34"/>
      <c r="E939" s="489"/>
      <c r="F939" s="77"/>
      <c r="G939" s="35"/>
    </row>
    <row r="940" spans="1:7" ht="54" customHeight="1" thickBot="1">
      <c r="A940" s="80" t="s">
        <v>379</v>
      </c>
      <c r="B940" s="548" t="str">
        <f>Planilha!C93</f>
        <v> DEMOLIÇÃO MANUAL DE CONCRETO, SEM ARMAÇÃO, INCLUSIVE
AFASTAMENTO E EMPILHAMENTO, EXCLUSIVE TRANSPORTE E
RETIRADA DO MATERIAL DEMOLIDO</v>
      </c>
      <c r="C940" s="549"/>
      <c r="D940" s="549"/>
      <c r="E940" s="550"/>
      <c r="F940" s="81">
        <f>F944</f>
        <v>3</v>
      </c>
      <c r="G940" s="80" t="s">
        <v>94</v>
      </c>
    </row>
    <row r="941" spans="1:7" ht="12.75">
      <c r="A941" s="33"/>
      <c r="B941" s="34"/>
      <c r="C941" s="34"/>
      <c r="D941" s="34"/>
      <c r="E941" s="489"/>
      <c r="F941" s="395"/>
      <c r="G941" s="35"/>
    </row>
    <row r="942" spans="1:7" ht="12.75">
      <c r="A942" s="33"/>
      <c r="B942" s="112" t="s">
        <v>20</v>
      </c>
      <c r="C942" s="112" t="s">
        <v>21</v>
      </c>
      <c r="D942" s="112" t="s">
        <v>26</v>
      </c>
      <c r="E942" s="214" t="s">
        <v>231</v>
      </c>
      <c r="F942" s="112" t="s">
        <v>23</v>
      </c>
      <c r="G942" s="35"/>
    </row>
    <row r="943" spans="1:7" ht="13.5" thickBot="1">
      <c r="A943" s="33"/>
      <c r="B943" s="104" t="s">
        <v>467</v>
      </c>
      <c r="C943" s="105">
        <v>4</v>
      </c>
      <c r="D943" s="105">
        <v>1.5</v>
      </c>
      <c r="E943" s="276">
        <v>0.5</v>
      </c>
      <c r="F943" s="231">
        <f>C943*D943*E943</f>
        <v>3</v>
      </c>
      <c r="G943" s="35"/>
    </row>
    <row r="944" spans="1:7" ht="13.5" thickBot="1">
      <c r="A944" s="33"/>
      <c r="B944" s="70"/>
      <c r="C944" s="41"/>
      <c r="D944" s="52"/>
      <c r="E944" s="87" t="s">
        <v>2</v>
      </c>
      <c r="F944" s="216">
        <f>F943</f>
        <v>3</v>
      </c>
      <c r="G944" s="35"/>
    </row>
    <row r="945" spans="1:7" ht="13.5" thickBot="1">
      <c r="A945" s="33"/>
      <c r="B945" s="34"/>
      <c r="C945" s="34"/>
      <c r="D945" s="34"/>
      <c r="E945" s="489"/>
      <c r="F945" s="77"/>
      <c r="G945" s="35"/>
    </row>
    <row r="946" spans="1:7" ht="13.5" thickBot="1">
      <c r="A946" s="80" t="s">
        <v>381</v>
      </c>
      <c r="B946" s="548" t="str">
        <f>Planilha!C95</f>
        <v>CORRIMÃO DUPLO EM TUBO GALVANIZADO, COM COSTURA,
DIÂMETRO 1.1/2", ESP. 3MM, FIXADO EM ALVENARIA, INCLUSIVE
SUPORTE PARA CORRIMÃO EM BARRA CHATA (1"X1/2"),
EXCLUSIVE PINTURA</v>
      </c>
      <c r="C946" s="549"/>
      <c r="D946" s="549"/>
      <c r="E946" s="550"/>
      <c r="F946" s="81">
        <f>C951</f>
        <v>7.8</v>
      </c>
      <c r="G946" s="80" t="s">
        <v>25</v>
      </c>
    </row>
    <row r="947" spans="1:15" ht="12.75">
      <c r="A947" s="33"/>
      <c r="B947" s="34"/>
      <c r="C947" s="34"/>
      <c r="D947" s="34"/>
      <c r="E947" s="489"/>
      <c r="F947" s="395"/>
      <c r="G947" s="35"/>
      <c r="O947" s="52"/>
    </row>
    <row r="948" spans="1:7" ht="12.75">
      <c r="A948" s="33"/>
      <c r="B948" s="112" t="s">
        <v>20</v>
      </c>
      <c r="C948" s="421" t="s">
        <v>21</v>
      </c>
      <c r="D948" s="252"/>
      <c r="E948" s="252"/>
      <c r="F948" s="77"/>
      <c r="G948" s="35"/>
    </row>
    <row r="949" spans="1:7" ht="12.75">
      <c r="A949" s="33"/>
      <c r="B949" s="422" t="s">
        <v>458</v>
      </c>
      <c r="C949" s="416">
        <v>6.34</v>
      </c>
      <c r="D949" s="41"/>
      <c r="E949" s="41"/>
      <c r="F949" s="77"/>
      <c r="G949" s="35"/>
    </row>
    <row r="950" spans="1:15" ht="13.5" thickBot="1">
      <c r="A950" s="33"/>
      <c r="B950" s="76" t="s">
        <v>459</v>
      </c>
      <c r="C950" s="423">
        <v>1.46</v>
      </c>
      <c r="D950" s="77"/>
      <c r="E950" s="77"/>
      <c r="F950" s="77"/>
      <c r="G950" s="35"/>
      <c r="O950" s="52"/>
    </row>
    <row r="951" spans="1:7" ht="13.5" thickBot="1">
      <c r="A951" s="33"/>
      <c r="B951" s="342" t="s">
        <v>2</v>
      </c>
      <c r="C951" s="216">
        <f>C949+C950</f>
        <v>7.8</v>
      </c>
      <c r="D951" s="41"/>
      <c r="E951" s="41"/>
      <c r="F951" s="77"/>
      <c r="G951" s="35"/>
    </row>
    <row r="952" spans="1:7" ht="13.5" thickBot="1">
      <c r="A952" s="33"/>
      <c r="B952" s="259"/>
      <c r="C952" s="77"/>
      <c r="D952" s="41"/>
      <c r="E952" s="41"/>
      <c r="F952" s="77"/>
      <c r="G952" s="35"/>
    </row>
    <row r="953" spans="1:7" ht="13.5" thickBot="1">
      <c r="A953" s="80" t="s">
        <v>509</v>
      </c>
      <c r="B953" s="548" t="str">
        <f>Planilha!C96</f>
        <v>GUARDA-CORPO INTERNO, ALTURA 110CM, EM TUBO
GALVANIZADO, COM COSTURA, DIÂMETRO 2", ESP. 3MM, GRADIL
COM DIVISÃO HORIZONTAL EM TUBO GALVANIZADO, COM
COSTURA, DIÂMETRO 1", ESP. 3MM, INCLUSIVE CORRIMÃO DUPLO
, EXCLUSIVE PINTURA
</v>
      </c>
      <c r="C953" s="549"/>
      <c r="D953" s="549"/>
      <c r="E953" s="550"/>
      <c r="F953" s="81">
        <f>C959</f>
        <v>9.9</v>
      </c>
      <c r="G953" s="80" t="s">
        <v>25</v>
      </c>
    </row>
    <row r="954" spans="1:7" ht="12.75">
      <c r="A954" s="33"/>
      <c r="B954" s="34"/>
      <c r="C954" s="34"/>
      <c r="D954" s="34"/>
      <c r="E954" s="489"/>
      <c r="F954" s="395"/>
      <c r="G954" s="35"/>
    </row>
    <row r="955" spans="1:7" ht="12.75">
      <c r="A955" s="33"/>
      <c r="B955" s="112" t="s">
        <v>20</v>
      </c>
      <c r="C955" s="228" t="s">
        <v>21</v>
      </c>
      <c r="D955" s="252"/>
      <c r="E955" s="252"/>
      <c r="F955" s="77"/>
      <c r="G955" s="35"/>
    </row>
    <row r="956" spans="1:7" ht="12.75">
      <c r="A956" s="33"/>
      <c r="B956" s="104" t="s">
        <v>458</v>
      </c>
      <c r="C956" s="396">
        <v>6.34</v>
      </c>
      <c r="D956" s="41"/>
      <c r="E956" s="41"/>
      <c r="F956" s="77"/>
      <c r="G956" s="35"/>
    </row>
    <row r="957" spans="1:7" ht="12.75">
      <c r="A957" s="33"/>
      <c r="B957" s="104" t="s">
        <v>459</v>
      </c>
      <c r="C957" s="105">
        <v>1.46</v>
      </c>
      <c r="D957" s="77"/>
      <c r="E957" s="77"/>
      <c r="F957" s="77"/>
      <c r="G957" s="35"/>
    </row>
    <row r="958" spans="1:7" ht="13.5" thickBot="1">
      <c r="A958" s="33"/>
      <c r="B958" s="76" t="s">
        <v>460</v>
      </c>
      <c r="C958" s="231">
        <v>2.1</v>
      </c>
      <c r="D958" s="77"/>
      <c r="E958" s="77"/>
      <c r="F958" s="77"/>
      <c r="G958" s="35"/>
    </row>
    <row r="959" spans="1:7" ht="13.5" thickBot="1">
      <c r="A959" s="33"/>
      <c r="B959" s="342" t="s">
        <v>2</v>
      </c>
      <c r="C959" s="216">
        <f>C956+C957+C958</f>
        <v>9.9</v>
      </c>
      <c r="D959" s="41"/>
      <c r="E959" s="41"/>
      <c r="F959" s="77"/>
      <c r="G959" s="35"/>
    </row>
    <row r="960" spans="1:7" ht="13.5" thickBot="1">
      <c r="A960" s="33"/>
      <c r="B960" s="30"/>
      <c r="C960" s="30"/>
      <c r="D960" s="34"/>
      <c r="E960" s="45"/>
      <c r="F960" s="34"/>
      <c r="G960" s="35"/>
    </row>
    <row r="961" spans="1:7" ht="13.5" thickBot="1">
      <c r="A961" s="80" t="s">
        <v>510</v>
      </c>
      <c r="B961" s="548" t="str">
        <f>Planilha!C97</f>
        <v>ALVENARIA DE VEDAÇÃO COM BLOCO DE CONCRETO, ESP.14CM,
PARA REVESTIMENTO, INCLUSIVE ARGAMASSA PARA ASSENTAMENTO</v>
      </c>
      <c r="C961" s="549"/>
      <c r="D961" s="549"/>
      <c r="E961" s="550"/>
      <c r="F961" s="81">
        <f>F968</f>
        <v>4.45</v>
      </c>
      <c r="G961" s="80" t="s">
        <v>94</v>
      </c>
    </row>
    <row r="962" spans="1:7" ht="12.75">
      <c r="A962" s="33"/>
      <c r="B962" s="34"/>
      <c r="C962" s="34"/>
      <c r="D962" s="34"/>
      <c r="E962" s="489"/>
      <c r="F962" s="395"/>
      <c r="G962" s="35"/>
    </row>
    <row r="963" spans="1:7" ht="12.75">
      <c r="A963" s="33"/>
      <c r="B963" s="52"/>
      <c r="C963" s="112" t="s">
        <v>20</v>
      </c>
      <c r="D963" s="112" t="s">
        <v>21</v>
      </c>
      <c r="E963" s="112" t="s">
        <v>231</v>
      </c>
      <c r="F963" s="409" t="s">
        <v>228</v>
      </c>
      <c r="G963" s="35"/>
    </row>
    <row r="964" spans="1:7" ht="12.75">
      <c r="A964" s="33"/>
      <c r="B964" s="52"/>
      <c r="C964" s="76" t="s">
        <v>457</v>
      </c>
      <c r="D964" s="231">
        <v>6</v>
      </c>
      <c r="E964" s="231">
        <v>0.5</v>
      </c>
      <c r="F964" s="231">
        <f>(D964*E964)/2</f>
        <v>1.5</v>
      </c>
      <c r="G964" s="35"/>
    </row>
    <row r="965" spans="1:7" ht="12.75">
      <c r="A965" s="33"/>
      <c r="B965" s="52"/>
      <c r="C965" s="104" t="s">
        <v>460</v>
      </c>
      <c r="D965" s="105">
        <v>2.1</v>
      </c>
      <c r="E965" s="105">
        <v>0.5</v>
      </c>
      <c r="F965" s="105">
        <f>D965*E965</f>
        <v>1.05</v>
      </c>
      <c r="G965" s="35"/>
    </row>
    <row r="966" spans="1:7" ht="12.75">
      <c r="A966" s="33"/>
      <c r="B966" s="52"/>
      <c r="C966" s="104" t="s">
        <v>463</v>
      </c>
      <c r="D966" s="105">
        <v>1.5</v>
      </c>
      <c r="E966" s="105">
        <v>0.5</v>
      </c>
      <c r="F966" s="105">
        <f>D966*E966</f>
        <v>0.75</v>
      </c>
      <c r="G966" s="35"/>
    </row>
    <row r="967" spans="1:7" ht="12.75">
      <c r="A967" s="33"/>
      <c r="B967" s="52"/>
      <c r="C967" s="104" t="s">
        <v>459</v>
      </c>
      <c r="D967" s="105">
        <v>1.5</v>
      </c>
      <c r="E967" s="105"/>
      <c r="F967" s="105">
        <v>1.15</v>
      </c>
      <c r="G967" s="35"/>
    </row>
    <row r="968" spans="1:7" ht="13.5" thickBot="1">
      <c r="A968" s="33"/>
      <c r="B968" s="70"/>
      <c r="C968" s="41"/>
      <c r="D968" s="52"/>
      <c r="E968" s="426" t="s">
        <v>2</v>
      </c>
      <c r="F968" s="427">
        <f>SUM(F964:F967)</f>
        <v>4.45</v>
      </c>
      <c r="G968" s="35"/>
    </row>
    <row r="969" spans="1:7" ht="13.5" thickBot="1">
      <c r="A969" s="33"/>
      <c r="B969" s="70"/>
      <c r="C969" s="41"/>
      <c r="D969" s="52"/>
      <c r="E969" s="420"/>
      <c r="F969" s="77"/>
      <c r="G969" s="35"/>
    </row>
    <row r="970" spans="1:7" ht="13.5" thickBot="1">
      <c r="A970" s="80" t="s">
        <v>511</v>
      </c>
      <c r="B970" s="548" t="str">
        <f>Planilha!C98</f>
        <v>PISO EM CONCRETO, PREPARADO EM OBRA COM BETONEIRA, FCK 10MPA, SEM ARMAÇÃO, ACABAMENTO RÚSTICO, ESP. 5CM, INCLUSIVE FORNECIMENTO, LANÇAMENTO, ADENSAMENTO, SARRAFEAMENTO, EXCLUSIVE JUNTA DE DILATAÇÃO</v>
      </c>
      <c r="C970" s="549"/>
      <c r="D970" s="549"/>
      <c r="E970" s="550"/>
      <c r="F970" s="81">
        <f>E977</f>
        <v>47.59</v>
      </c>
      <c r="G970" s="80" t="s">
        <v>94</v>
      </c>
    </row>
    <row r="971" spans="1:11" ht="12.75">
      <c r="A971" s="33"/>
      <c r="B971" s="70"/>
      <c r="C971" s="41"/>
      <c r="D971" s="52"/>
      <c r="E971" s="420"/>
      <c r="F971" s="77"/>
      <c r="G971" s="35"/>
      <c r="K971" s="100"/>
    </row>
    <row r="972" spans="1:7" ht="12.75">
      <c r="A972" s="33"/>
      <c r="B972" s="488" t="s">
        <v>20</v>
      </c>
      <c r="C972" s="409" t="s">
        <v>227</v>
      </c>
      <c r="D972" s="202" t="s">
        <v>220</v>
      </c>
      <c r="E972" s="202" t="s">
        <v>228</v>
      </c>
      <c r="F972" s="77"/>
      <c r="G972" s="364"/>
    </row>
    <row r="973" spans="1:7" ht="12.75">
      <c r="A973" s="33"/>
      <c r="B973" s="104" t="s">
        <v>458</v>
      </c>
      <c r="C973" s="105">
        <v>1.5</v>
      </c>
      <c r="D973" s="276">
        <v>6</v>
      </c>
      <c r="E973" s="276">
        <f>C973*D973</f>
        <v>9</v>
      </c>
      <c r="F973" s="77"/>
      <c r="G973" s="364"/>
    </row>
    <row r="974" spans="1:7" ht="12.75">
      <c r="A974" s="33"/>
      <c r="B974" s="104" t="s">
        <v>462</v>
      </c>
      <c r="C974" s="105">
        <v>1.5</v>
      </c>
      <c r="D974" s="203">
        <v>2.1</v>
      </c>
      <c r="E974" s="276">
        <f>C974*D974</f>
        <v>3.15</v>
      </c>
      <c r="F974" s="77"/>
      <c r="G974" s="364"/>
    </row>
    <row r="975" spans="1:7" ht="12.75">
      <c r="A975" s="33"/>
      <c r="B975" s="104" t="s">
        <v>459</v>
      </c>
      <c r="C975" s="105">
        <v>1.5</v>
      </c>
      <c r="D975" s="203">
        <v>0.9</v>
      </c>
      <c r="E975" s="276">
        <f>C975*D975</f>
        <v>1.35</v>
      </c>
      <c r="F975" s="77"/>
      <c r="G975" s="364"/>
    </row>
    <row r="976" spans="1:11" ht="12.75">
      <c r="A976" s="33"/>
      <c r="B976" s="104" t="s">
        <v>464</v>
      </c>
      <c r="C976" s="105">
        <v>24.35</v>
      </c>
      <c r="D976" s="203">
        <v>1.4</v>
      </c>
      <c r="E976" s="276">
        <f>C976*D976</f>
        <v>34.09</v>
      </c>
      <c r="F976" s="77"/>
      <c r="G976" s="364"/>
      <c r="K976" s="95"/>
    </row>
    <row r="977" spans="1:11" ht="13.5" thickBot="1">
      <c r="A977" s="33"/>
      <c r="B977" s="70"/>
      <c r="C977" s="41"/>
      <c r="D977" s="453" t="s">
        <v>62</v>
      </c>
      <c r="E977" s="454">
        <f>SUM(E973:E976)</f>
        <v>47.59</v>
      </c>
      <c r="F977" s="77"/>
      <c r="G977" s="364"/>
      <c r="K977" s="95"/>
    </row>
    <row r="978" spans="1:11" ht="13.5" thickBot="1">
      <c r="A978" s="33"/>
      <c r="B978" s="70"/>
      <c r="C978" s="41"/>
      <c r="D978" s="397"/>
      <c r="E978" s="258"/>
      <c r="F978" s="77"/>
      <c r="G978" s="364"/>
      <c r="K978" s="95"/>
    </row>
    <row r="979" spans="1:11" ht="13.5" thickBot="1">
      <c r="A979" s="80" t="s">
        <v>512</v>
      </c>
      <c r="B979" s="548" t="str">
        <f>Planilha!C99</f>
        <v>CONTRAPISO DESEMPENADO COM ARGAMASSA,
TRAÇO 1:3 (CIMENTO E AREIA), ESP. 20MM</v>
      </c>
      <c r="C979" s="549"/>
      <c r="D979" s="549"/>
      <c r="E979" s="550"/>
      <c r="F979" s="81">
        <f>E984</f>
        <v>47.59</v>
      </c>
      <c r="G979" s="80" t="s">
        <v>94</v>
      </c>
      <c r="K979" s="95"/>
    </row>
    <row r="980" spans="1:11" ht="12.75">
      <c r="A980" s="33"/>
      <c r="B980" s="34"/>
      <c r="C980" s="34"/>
      <c r="D980" s="34"/>
      <c r="E980" s="489"/>
      <c r="F980" s="395"/>
      <c r="G980" s="35"/>
      <c r="K980" s="95"/>
    </row>
    <row r="981" spans="1:11" ht="12.75">
      <c r="A981" s="33"/>
      <c r="B981" s="112" t="s">
        <v>20</v>
      </c>
      <c r="C981" s="112" t="s">
        <v>21</v>
      </c>
      <c r="D981" s="112" t="s">
        <v>26</v>
      </c>
      <c r="E981" s="112" t="s">
        <v>23</v>
      </c>
      <c r="F981" s="77"/>
      <c r="G981" s="35"/>
      <c r="K981" s="95"/>
    </row>
    <row r="982" spans="1:11" ht="12.75">
      <c r="A982" s="33"/>
      <c r="B982" s="104" t="s">
        <v>474</v>
      </c>
      <c r="C982" s="105">
        <v>1.5</v>
      </c>
      <c r="D982" s="105">
        <v>9</v>
      </c>
      <c r="E982" s="105">
        <f>C982*D982</f>
        <v>13.5</v>
      </c>
      <c r="F982" s="77"/>
      <c r="G982" s="35"/>
      <c r="K982" s="95"/>
    </row>
    <row r="983" spans="1:7" ht="12.75">
      <c r="A983" s="33"/>
      <c r="B983" s="104" t="s">
        <v>464</v>
      </c>
      <c r="C983" s="105">
        <v>24.35</v>
      </c>
      <c r="D983" s="105">
        <v>1.4</v>
      </c>
      <c r="E983" s="105">
        <f>C983*D983</f>
        <v>34.09</v>
      </c>
      <c r="F983" s="77"/>
      <c r="G983" s="35"/>
    </row>
    <row r="984" spans="1:7" ht="13.5" thickBot="1">
      <c r="A984" s="33"/>
      <c r="B984" s="70"/>
      <c r="C984" s="41"/>
      <c r="D984" s="453" t="s">
        <v>2</v>
      </c>
      <c r="E984" s="455">
        <f>E982+E983</f>
        <v>47.59</v>
      </c>
      <c r="F984" s="77"/>
      <c r="G984" s="35"/>
    </row>
    <row r="985" spans="1:7" ht="13.5" thickBot="1">
      <c r="A985" s="33"/>
      <c r="B985" s="70"/>
      <c r="C985" s="41"/>
      <c r="D985" s="424"/>
      <c r="E985" s="425"/>
      <c r="F985" s="77"/>
      <c r="G985" s="35"/>
    </row>
    <row r="986" spans="1:7" ht="13.5" thickBot="1">
      <c r="A986" s="80" t="s">
        <v>513</v>
      </c>
      <c r="B986" s="548" t="str">
        <f>Planilha!C100</f>
        <v>ATERRO COMPACTADO MANUAL, COM SOQUETE</v>
      </c>
      <c r="C986" s="549"/>
      <c r="D986" s="549"/>
      <c r="E986" s="550"/>
      <c r="F986" s="81">
        <f>F991</f>
        <v>6.08</v>
      </c>
      <c r="G986" s="80" t="s">
        <v>95</v>
      </c>
    </row>
    <row r="987" spans="1:7" ht="12.75">
      <c r="A987" s="33"/>
      <c r="B987" s="70"/>
      <c r="C987" s="41"/>
      <c r="D987" s="52"/>
      <c r="E987" s="420"/>
      <c r="F987" s="77"/>
      <c r="G987" s="35"/>
    </row>
    <row r="988" spans="1:7" ht="12.75">
      <c r="A988" s="33"/>
      <c r="B988" s="488" t="s">
        <v>20</v>
      </c>
      <c r="C988" s="409" t="s">
        <v>227</v>
      </c>
      <c r="D988" s="202" t="s">
        <v>220</v>
      </c>
      <c r="E988" s="431" t="s">
        <v>231</v>
      </c>
      <c r="F988" s="409" t="s">
        <v>200</v>
      </c>
      <c r="G988" s="364"/>
    </row>
    <row r="989" spans="1:7" ht="12.75">
      <c r="A989" s="33"/>
      <c r="B989" s="104" t="s">
        <v>458</v>
      </c>
      <c r="C989" s="105">
        <v>1.5</v>
      </c>
      <c r="D989" s="276">
        <v>6</v>
      </c>
      <c r="E989" s="432">
        <v>0.5</v>
      </c>
      <c r="F989" s="105">
        <f>(C989*D989)/2</f>
        <v>4.5</v>
      </c>
      <c r="G989" s="364"/>
    </row>
    <row r="990" spans="1:7" ht="13.5" thickBot="1">
      <c r="A990" s="33"/>
      <c r="B990" s="104" t="s">
        <v>462</v>
      </c>
      <c r="C990" s="105">
        <v>1.5</v>
      </c>
      <c r="D990" s="203">
        <v>2.1</v>
      </c>
      <c r="E990" s="432">
        <v>0.5</v>
      </c>
      <c r="F990" s="105">
        <f>(C990*D990)/2</f>
        <v>1.58</v>
      </c>
      <c r="G990" s="364"/>
    </row>
    <row r="991" spans="1:7" ht="13.5" thickBot="1">
      <c r="A991" s="33"/>
      <c r="B991" s="70"/>
      <c r="C991" s="41"/>
      <c r="D991" s="52"/>
      <c r="E991" s="87" t="s">
        <v>2</v>
      </c>
      <c r="F991" s="354">
        <f>F989+F990</f>
        <v>6.08</v>
      </c>
      <c r="G991" s="364"/>
    </row>
    <row r="992" spans="1:7" ht="13.5" thickBot="1">
      <c r="A992" s="33"/>
      <c r="B992" s="259"/>
      <c r="C992" s="77"/>
      <c r="D992" s="430"/>
      <c r="E992" s="430"/>
      <c r="F992" s="77"/>
      <c r="G992" s="364"/>
    </row>
    <row r="993" spans="1:7" ht="12.75">
      <c r="A993" s="29"/>
      <c r="B993" s="30"/>
      <c r="C993" s="30"/>
      <c r="D993" s="30"/>
      <c r="E993" s="31"/>
      <c r="F993" s="30"/>
      <c r="G993" s="32"/>
    </row>
    <row r="994" spans="1:7" ht="12.75">
      <c r="A994" s="114"/>
      <c r="B994" s="574"/>
      <c r="C994" s="574"/>
      <c r="D994" s="115"/>
      <c r="E994" s="574" t="s">
        <v>531</v>
      </c>
      <c r="F994" s="574"/>
      <c r="G994" s="492"/>
    </row>
    <row r="995" spans="1:7" ht="12.75">
      <c r="A995" s="114"/>
      <c r="B995" s="575" t="s">
        <v>182</v>
      </c>
      <c r="C995" s="575"/>
      <c r="D995" s="115"/>
      <c r="E995" s="575" t="s">
        <v>75</v>
      </c>
      <c r="F995" s="575"/>
      <c r="G995" s="98"/>
    </row>
    <row r="996" spans="1:7" ht="12.75">
      <c r="A996" s="116"/>
      <c r="B996" s="117"/>
      <c r="C996" s="115"/>
      <c r="D996" s="117"/>
      <c r="E996" s="117"/>
      <c r="F996" s="117"/>
      <c r="G996" s="99"/>
    </row>
    <row r="997" spans="1:7" ht="12.75">
      <c r="A997" s="116"/>
      <c r="B997" s="117"/>
      <c r="C997" s="115"/>
      <c r="D997" s="117"/>
      <c r="E997" s="117"/>
      <c r="F997" s="117"/>
      <c r="G997" s="99"/>
    </row>
    <row r="998" spans="1:7" ht="12.75">
      <c r="A998" s="586"/>
      <c r="B998" s="587"/>
      <c r="C998" s="587"/>
      <c r="D998" s="587"/>
      <c r="E998" s="587"/>
      <c r="F998" s="587"/>
      <c r="G998" s="588"/>
    </row>
    <row r="999" spans="1:7" ht="12.75" customHeight="1">
      <c r="A999" s="583" t="s">
        <v>76</v>
      </c>
      <c r="B999" s="584"/>
      <c r="C999" s="584"/>
      <c r="D999" s="584"/>
      <c r="E999" s="584"/>
      <c r="F999" s="584"/>
      <c r="G999" s="585"/>
    </row>
    <row r="1000" spans="1:7" ht="12.75">
      <c r="A1000" s="54"/>
      <c r="B1000" s="52"/>
      <c r="C1000" s="118"/>
      <c r="D1000" s="52"/>
      <c r="E1000" s="52"/>
      <c r="F1000" s="52"/>
      <c r="G1000" s="55"/>
    </row>
    <row r="1001" spans="1:7" ht="13.5" thickBot="1">
      <c r="A1001" s="64"/>
      <c r="B1001" s="97"/>
      <c r="C1001" s="97"/>
      <c r="D1001" s="97"/>
      <c r="E1001" s="56"/>
      <c r="F1001" s="83"/>
      <c r="G1001" s="61"/>
    </row>
    <row r="1002" spans="1:7" ht="12.75">
      <c r="A1002" s="69"/>
      <c r="B1002" s="70"/>
      <c r="C1002" s="41"/>
      <c r="D1002" s="41"/>
      <c r="E1002" s="41"/>
      <c r="F1002" s="41"/>
      <c r="G1002" s="34"/>
    </row>
    <row r="1003" spans="1:7" ht="12.75">
      <c r="A1003" s="45"/>
      <c r="B1003" s="34"/>
      <c r="C1003" s="34"/>
      <c r="D1003" s="52"/>
      <c r="E1003" s="36"/>
      <c r="F1003" s="37"/>
      <c r="G1003" s="34"/>
    </row>
    <row r="1004" spans="1:7" ht="12.75">
      <c r="A1004" s="33"/>
      <c r="B1004" s="34"/>
      <c r="C1004" s="34"/>
      <c r="D1004" s="34"/>
      <c r="E1004" s="45"/>
      <c r="F1004" s="34"/>
      <c r="G1004" s="34"/>
    </row>
    <row r="1005" spans="2:7" ht="12.75">
      <c r="B1005" s="52"/>
      <c r="C1005" s="52"/>
      <c r="D1005" s="52"/>
      <c r="E1005" s="52"/>
      <c r="F1005" s="52"/>
      <c r="G1005" s="52"/>
    </row>
    <row r="1006" spans="2:6" ht="12.75">
      <c r="B1006">
        <v>1</v>
      </c>
      <c r="C1006">
        <v>2.93</v>
      </c>
      <c r="D1006">
        <v>0.15</v>
      </c>
      <c r="E1006">
        <v>0.05</v>
      </c>
      <c r="F1006">
        <f aca="true" t="shared" si="38" ref="F1006:F1024">E1006*D1006*C1006</f>
        <v>0.021975</v>
      </c>
    </row>
    <row r="1007" spans="2:6" ht="15" customHeight="1">
      <c r="B1007">
        <v>2</v>
      </c>
      <c r="C1007">
        <v>3</v>
      </c>
      <c r="D1007">
        <v>0.15</v>
      </c>
      <c r="E1007">
        <v>0.05</v>
      </c>
      <c r="F1007">
        <f t="shared" si="38"/>
        <v>0.0225</v>
      </c>
    </row>
    <row r="1008" spans="2:6" ht="12.75">
      <c r="B1008">
        <v>3</v>
      </c>
      <c r="C1008">
        <v>3.6</v>
      </c>
      <c r="D1008">
        <v>0.15</v>
      </c>
      <c r="E1008">
        <v>0.05</v>
      </c>
      <c r="F1008">
        <f t="shared" si="38"/>
        <v>0.027</v>
      </c>
    </row>
    <row r="1009" spans="2:6" ht="12.75">
      <c r="B1009">
        <v>4</v>
      </c>
      <c r="C1009">
        <v>2.93</v>
      </c>
      <c r="D1009">
        <v>0.15</v>
      </c>
      <c r="E1009">
        <v>0.05</v>
      </c>
      <c r="F1009">
        <f t="shared" si="38"/>
        <v>0.021975</v>
      </c>
    </row>
    <row r="1010" spans="2:6" ht="15" customHeight="1">
      <c r="B1010">
        <v>5</v>
      </c>
      <c r="C1010">
        <v>3.08</v>
      </c>
      <c r="D1010">
        <v>0.15</v>
      </c>
      <c r="E1010">
        <v>0.05</v>
      </c>
      <c r="F1010">
        <f t="shared" si="38"/>
        <v>0.0231</v>
      </c>
    </row>
    <row r="1011" spans="2:6" ht="12.75">
      <c r="B1011">
        <v>6</v>
      </c>
      <c r="C1011">
        <v>3.23</v>
      </c>
      <c r="D1011">
        <v>0.15</v>
      </c>
      <c r="E1011">
        <v>0.05</v>
      </c>
      <c r="F1011">
        <f t="shared" si="38"/>
        <v>0.024225</v>
      </c>
    </row>
    <row r="1012" spans="2:6" ht="12.75">
      <c r="B1012">
        <v>7</v>
      </c>
      <c r="C1012">
        <v>3.6</v>
      </c>
      <c r="D1012">
        <v>0.15</v>
      </c>
      <c r="E1012">
        <v>0.05</v>
      </c>
      <c r="F1012">
        <f t="shared" si="38"/>
        <v>0.027</v>
      </c>
    </row>
    <row r="1013" spans="2:6" ht="12.75">
      <c r="B1013">
        <v>8</v>
      </c>
      <c r="C1013">
        <v>2.93</v>
      </c>
      <c r="D1013">
        <v>0.15</v>
      </c>
      <c r="E1013">
        <v>0.05</v>
      </c>
      <c r="F1013">
        <f t="shared" si="38"/>
        <v>0.021975</v>
      </c>
    </row>
    <row r="1014" spans="2:6" ht="12.75">
      <c r="B1014">
        <v>9</v>
      </c>
      <c r="C1014">
        <v>5.4</v>
      </c>
      <c r="D1014">
        <v>0.15</v>
      </c>
      <c r="E1014">
        <v>0.05</v>
      </c>
      <c r="F1014">
        <f t="shared" si="38"/>
        <v>0.0405</v>
      </c>
    </row>
    <row r="1015" spans="2:6" ht="15" customHeight="1">
      <c r="B1015">
        <v>10</v>
      </c>
      <c r="C1015">
        <v>4.43</v>
      </c>
      <c r="D1015">
        <v>0.15</v>
      </c>
      <c r="E1015">
        <v>0.05</v>
      </c>
      <c r="F1015">
        <f t="shared" si="38"/>
        <v>0.033225</v>
      </c>
    </row>
    <row r="1016" spans="2:6" ht="15" customHeight="1">
      <c r="B1016">
        <v>11</v>
      </c>
      <c r="C1016">
        <v>2.08</v>
      </c>
      <c r="D1016">
        <v>0.15</v>
      </c>
      <c r="E1016">
        <v>0.05</v>
      </c>
      <c r="F1016">
        <f t="shared" si="38"/>
        <v>0.0156</v>
      </c>
    </row>
    <row r="1017" spans="2:6" ht="24" customHeight="1">
      <c r="B1017">
        <v>12</v>
      </c>
      <c r="C1017">
        <v>1.63</v>
      </c>
      <c r="D1017">
        <v>0.15</v>
      </c>
      <c r="E1017">
        <v>0.05</v>
      </c>
      <c r="F1017">
        <f t="shared" si="38"/>
        <v>0.012225</v>
      </c>
    </row>
    <row r="1018" spans="2:6" ht="12.75">
      <c r="B1018">
        <v>13</v>
      </c>
      <c r="D1018">
        <v>0.15</v>
      </c>
      <c r="E1018">
        <v>0.05</v>
      </c>
      <c r="F1018">
        <f t="shared" si="38"/>
        <v>0</v>
      </c>
    </row>
    <row r="1019" spans="2:6" ht="12.75">
      <c r="B1019">
        <v>14</v>
      </c>
      <c r="C1019">
        <v>1.7</v>
      </c>
      <c r="D1019">
        <v>0.15</v>
      </c>
      <c r="E1019">
        <v>0.05</v>
      </c>
      <c r="F1019">
        <f t="shared" si="38"/>
        <v>0.01275</v>
      </c>
    </row>
    <row r="1020" spans="2:6" ht="12.75">
      <c r="B1020">
        <v>15</v>
      </c>
      <c r="C1020">
        <v>2.6</v>
      </c>
      <c r="D1020">
        <v>0.15</v>
      </c>
      <c r="E1020">
        <v>0.05</v>
      </c>
      <c r="F1020">
        <f t="shared" si="38"/>
        <v>0.0195</v>
      </c>
    </row>
    <row r="1021" spans="2:6" ht="12.75">
      <c r="B1021">
        <v>16</v>
      </c>
      <c r="C1021">
        <v>1.25</v>
      </c>
      <c r="D1021">
        <v>0.15</v>
      </c>
      <c r="E1021">
        <v>0.05</v>
      </c>
      <c r="F1021">
        <f t="shared" si="38"/>
        <v>0.009375</v>
      </c>
    </row>
    <row r="1022" spans="2:6" ht="12.75">
      <c r="B1022">
        <v>17</v>
      </c>
      <c r="C1022">
        <v>2.75</v>
      </c>
      <c r="D1022">
        <v>0.15</v>
      </c>
      <c r="E1022">
        <v>0.05</v>
      </c>
      <c r="F1022">
        <f t="shared" si="38"/>
        <v>0.020625</v>
      </c>
    </row>
    <row r="1023" spans="2:6" ht="12.75">
      <c r="B1023">
        <v>18</v>
      </c>
      <c r="C1023">
        <v>3.7</v>
      </c>
      <c r="D1023">
        <v>0.15</v>
      </c>
      <c r="E1023">
        <v>0.05</v>
      </c>
      <c r="F1023">
        <f t="shared" si="38"/>
        <v>0.02775</v>
      </c>
    </row>
    <row r="1024" spans="2:6" ht="12.75">
      <c r="B1024">
        <v>19</v>
      </c>
      <c r="C1024">
        <v>2.03</v>
      </c>
      <c r="D1024">
        <v>0.15</v>
      </c>
      <c r="E1024">
        <v>0.05</v>
      </c>
      <c r="F1024">
        <f t="shared" si="38"/>
        <v>0.015225</v>
      </c>
    </row>
    <row r="1025" ht="12.75">
      <c r="F1025">
        <f>SUM(F1006:F1024)</f>
        <v>0.396525</v>
      </c>
    </row>
    <row r="1026" ht="12.75" customHeight="1"/>
    <row r="1032" ht="29.25" customHeight="1"/>
    <row r="1039" ht="13.5" customHeight="1"/>
    <row r="1040" ht="11.25" customHeight="1">
      <c r="H1040" s="85"/>
    </row>
    <row r="1041" ht="12.75">
      <c r="H1041" s="96"/>
    </row>
    <row r="1042" ht="12.75">
      <c r="H1042" s="59"/>
    </row>
    <row r="1043" ht="12.75">
      <c r="H1043" s="59"/>
    </row>
    <row r="1044" ht="11.25" customHeight="1">
      <c r="H1044" s="85"/>
    </row>
    <row r="1045" ht="12.75" customHeight="1">
      <c r="H1045" s="96"/>
    </row>
    <row r="1046" ht="12" customHeight="1"/>
    <row r="1047" ht="15" customHeight="1"/>
    <row r="1048" ht="12.75">
      <c r="H1048" s="52"/>
    </row>
    <row r="1049" ht="12.75">
      <c r="H1049" s="52"/>
    </row>
    <row r="1050" ht="12.75">
      <c r="H1050" s="52"/>
    </row>
    <row r="1051" ht="12.75">
      <c r="H1051" s="52"/>
    </row>
  </sheetData>
  <sheetProtection/>
  <mergeCells count="104">
    <mergeCell ref="A999:G999"/>
    <mergeCell ref="A998:G998"/>
    <mergeCell ref="B342:E342"/>
    <mergeCell ref="C368:F368"/>
    <mergeCell ref="A1:G1"/>
    <mergeCell ref="B273:E273"/>
    <mergeCell ref="B525:E525"/>
    <mergeCell ref="B623:E623"/>
    <mergeCell ref="A2:G2"/>
    <mergeCell ref="B4:G4"/>
    <mergeCell ref="B6:E6"/>
    <mergeCell ref="A379:A380"/>
    <mergeCell ref="A381:A382"/>
    <mergeCell ref="A207:A214"/>
    <mergeCell ref="B234:E234"/>
    <mergeCell ref="B249:E249"/>
    <mergeCell ref="B285:G285"/>
    <mergeCell ref="B20:E20"/>
    <mergeCell ref="B119:E119"/>
    <mergeCell ref="B131:E131"/>
    <mergeCell ref="A89:A90"/>
    <mergeCell ref="B43:E43"/>
    <mergeCell ref="B203:G203"/>
    <mergeCell ref="B41:E41"/>
    <mergeCell ref="B108:E108"/>
    <mergeCell ref="B86:E86"/>
    <mergeCell ref="B66:G66"/>
    <mergeCell ref="C179:F179"/>
    <mergeCell ref="C187:F187"/>
    <mergeCell ref="B857:E857"/>
    <mergeCell ref="B799:F799"/>
    <mergeCell ref="B761:E761"/>
    <mergeCell ref="B823:E823"/>
    <mergeCell ref="B205:E205"/>
    <mergeCell ref="B639:E639"/>
    <mergeCell ref="B301:E301"/>
    <mergeCell ref="B294:E294"/>
    <mergeCell ref="B195:E195"/>
    <mergeCell ref="B351:E351"/>
    <mergeCell ref="B335:E335"/>
    <mergeCell ref="B77:E77"/>
    <mergeCell ref="B595:E595"/>
    <mergeCell ref="B670:E670"/>
    <mergeCell ref="B696:E696"/>
    <mergeCell ref="B883:G883"/>
    <mergeCell ref="B870:E870"/>
    <mergeCell ref="B405:E405"/>
    <mergeCell ref="B498:E498"/>
    <mergeCell ref="B994:C994"/>
    <mergeCell ref="E994:F994"/>
    <mergeCell ref="B995:C995"/>
    <mergeCell ref="E995:F995"/>
    <mergeCell ref="B885:E885"/>
    <mergeCell ref="B564:E564"/>
    <mergeCell ref="B864:E864"/>
    <mergeCell ref="B809:E809"/>
    <mergeCell ref="B837:E837"/>
    <mergeCell ref="B759:G759"/>
    <mergeCell ref="B940:E940"/>
    <mergeCell ref="B986:E986"/>
    <mergeCell ref="B979:E979"/>
    <mergeCell ref="B946:E946"/>
    <mergeCell ref="B953:E953"/>
    <mergeCell ref="B970:E970"/>
    <mergeCell ref="B480:G480"/>
    <mergeCell ref="B896:E896"/>
    <mergeCell ref="B914:E914"/>
    <mergeCell ref="B938:G938"/>
    <mergeCell ref="B961:E961"/>
    <mergeCell ref="A111:A112"/>
    <mergeCell ref="A113:A117"/>
    <mergeCell ref="B851:E851"/>
    <mergeCell ref="B716:E716"/>
    <mergeCell ref="B433:G433"/>
    <mergeCell ref="B349:G349"/>
    <mergeCell ref="B357:E357"/>
    <mergeCell ref="C359:F359"/>
    <mergeCell ref="B481:G481"/>
    <mergeCell ref="B470:E470"/>
    <mergeCell ref="B815:E815"/>
    <mergeCell ref="B831:E831"/>
    <mergeCell ref="B845:E845"/>
    <mergeCell ref="B747:E747"/>
    <mergeCell ref="B154:E154"/>
    <mergeCell ref="B562:G562"/>
    <mergeCell ref="B220:E220"/>
    <mergeCell ref="B279:E279"/>
    <mergeCell ref="B452:E452"/>
    <mergeCell ref="B768:E768"/>
    <mergeCell ref="B551:E551"/>
    <mergeCell ref="B512:E512"/>
    <mergeCell ref="B698:G698"/>
    <mergeCell ref="B877:E877"/>
    <mergeCell ref="B738:E738"/>
    <mergeCell ref="B775:E775"/>
    <mergeCell ref="B783:E783"/>
    <mergeCell ref="B792:E792"/>
    <mergeCell ref="B801:E801"/>
    <mergeCell ref="B177:E177"/>
    <mergeCell ref="B483:E483"/>
    <mergeCell ref="B376:E376"/>
    <mergeCell ref="B435:E435"/>
    <mergeCell ref="B287:E287"/>
    <mergeCell ref="B310:E310"/>
  </mergeCells>
  <printOptions/>
  <pageMargins left="0.511811024" right="0.511811024" top="0.787401575" bottom="0.787401575" header="0.31496062" footer="0.31496062"/>
  <pageSetup fitToHeight="0" fitToWidth="0" horizontalDpi="360" verticalDpi="360" orientation="portrait" paperSize="9" scale="70" r:id="rId2"/>
  <drawing r:id="rId1"/>
</worksheet>
</file>

<file path=xl/worksheets/sheet2.xml><?xml version="1.0" encoding="utf-8"?>
<worksheet xmlns="http://schemas.openxmlformats.org/spreadsheetml/2006/main" xmlns:r="http://schemas.openxmlformats.org/officeDocument/2006/relationships">
  <sheetPr>
    <tabColor rgb="FF002060"/>
  </sheetPr>
  <dimension ref="A1:IV116"/>
  <sheetViews>
    <sheetView showGridLines="0" showZeros="0" tabSelected="1" view="pageBreakPreview" zoomScaleSheetLayoutView="100" zoomScalePageLayoutView="0" workbookViewId="0" topLeftCell="K1">
      <pane xSplit="2868" topLeftCell="A1" activePane="topRight" state="split"/>
      <selection pane="topLeft" activeCell="K101" sqref="A101:IV102"/>
      <selection pane="topRight" activeCell="G117" sqref="G117"/>
    </sheetView>
  </sheetViews>
  <sheetFormatPr defaultColWidth="9.140625" defaultRowHeight="12.75"/>
  <cols>
    <col min="1" max="1" width="5.421875" style="0" bestFit="1" customWidth="1"/>
    <col min="2" max="2" width="10.7109375" style="0" bestFit="1" customWidth="1"/>
    <col min="3" max="3" width="48.00390625" style="149" customWidth="1"/>
    <col min="5" max="5" width="13.00390625" style="0" customWidth="1"/>
    <col min="6" max="8" width="12.28125" style="0" customWidth="1"/>
    <col min="9" max="9" width="0" style="0" hidden="1" customWidth="1"/>
    <col min="10" max="10" width="13.140625" style="0" hidden="1" customWidth="1"/>
    <col min="11" max="11" width="11.7109375" style="0" bestFit="1" customWidth="1"/>
    <col min="12" max="12" width="11.8515625" style="0" customWidth="1"/>
  </cols>
  <sheetData>
    <row r="1" spans="1:8" ht="69.75" customHeight="1">
      <c r="A1" s="634"/>
      <c r="B1" s="635"/>
      <c r="C1" s="636"/>
      <c r="D1" s="636"/>
      <c r="E1" s="636"/>
      <c r="F1" s="636"/>
      <c r="G1" s="636"/>
      <c r="H1" s="637"/>
    </row>
    <row r="2" spans="1:8" ht="3.75" customHeight="1" thickBot="1">
      <c r="A2" s="638"/>
      <c r="B2" s="639"/>
      <c r="C2" s="639"/>
      <c r="D2" s="639"/>
      <c r="E2" s="639"/>
      <c r="F2" s="639"/>
      <c r="G2" s="639"/>
      <c r="H2" s="640"/>
    </row>
    <row r="3" spans="1:8" ht="17.25" customHeight="1" thickBot="1">
      <c r="A3" s="641" t="s">
        <v>77</v>
      </c>
      <c r="B3" s="642"/>
      <c r="C3" s="642"/>
      <c r="D3" s="642"/>
      <c r="E3" s="642"/>
      <c r="F3" s="642"/>
      <c r="G3" s="642"/>
      <c r="H3" s="643"/>
    </row>
    <row r="4" spans="1:8" ht="3.75" customHeight="1" thickBot="1">
      <c r="A4" s="119"/>
      <c r="B4" s="120"/>
      <c r="C4" s="120"/>
      <c r="D4" s="120"/>
      <c r="E4" s="120"/>
      <c r="F4" s="120"/>
      <c r="G4" s="120"/>
      <c r="H4" s="121"/>
    </row>
    <row r="5" spans="1:15" ht="26.25" customHeight="1">
      <c r="A5" s="644" t="s">
        <v>529</v>
      </c>
      <c r="B5" s="645"/>
      <c r="C5" s="645"/>
      <c r="D5" s="646"/>
      <c r="E5" s="647" t="s">
        <v>530</v>
      </c>
      <c r="F5" s="648"/>
      <c r="G5" s="648"/>
      <c r="H5" s="649"/>
      <c r="N5">
        <v>2</v>
      </c>
      <c r="O5">
        <v>3</v>
      </c>
    </row>
    <row r="6" spans="1:15" ht="12.75">
      <c r="A6" s="621" t="s">
        <v>187</v>
      </c>
      <c r="B6" s="622"/>
      <c r="C6" s="622"/>
      <c r="D6" s="623"/>
      <c r="E6" s="624" t="s">
        <v>78</v>
      </c>
      <c r="F6" s="625"/>
      <c r="G6" s="625"/>
      <c r="H6" s="626"/>
      <c r="N6">
        <v>2</v>
      </c>
      <c r="O6">
        <v>5</v>
      </c>
    </row>
    <row r="7" spans="1:15" ht="27" customHeight="1">
      <c r="A7" s="621" t="s">
        <v>520</v>
      </c>
      <c r="B7" s="622"/>
      <c r="C7" s="622"/>
      <c r="D7" s="623"/>
      <c r="E7" s="627" t="s">
        <v>79</v>
      </c>
      <c r="F7" s="629" t="s">
        <v>80</v>
      </c>
      <c r="G7" s="412" t="s">
        <v>81</v>
      </c>
      <c r="H7" s="411" t="s">
        <v>82</v>
      </c>
      <c r="N7">
        <v>4</v>
      </c>
      <c r="O7">
        <v>4</v>
      </c>
    </row>
    <row r="8" spans="1:15" ht="17.25" customHeight="1" thickBot="1">
      <c r="A8" s="631" t="s">
        <v>469</v>
      </c>
      <c r="B8" s="632"/>
      <c r="C8" s="632"/>
      <c r="D8" s="633"/>
      <c r="E8" s="628"/>
      <c r="F8" s="630"/>
      <c r="G8" s="122" t="s">
        <v>83</v>
      </c>
      <c r="H8" s="123">
        <v>0.2247</v>
      </c>
      <c r="N8">
        <v>10</v>
      </c>
      <c r="O8">
        <v>10</v>
      </c>
    </row>
    <row r="9" spans="1:8" ht="3.75" customHeight="1" thickBot="1">
      <c r="A9" s="610"/>
      <c r="B9" s="611"/>
      <c r="C9" s="611"/>
      <c r="D9" s="611"/>
      <c r="E9" s="611"/>
      <c r="F9" s="611"/>
      <c r="G9" s="611"/>
      <c r="H9" s="612"/>
    </row>
    <row r="10" spans="1:20" ht="39.75" thickBot="1">
      <c r="A10" s="124" t="s">
        <v>84</v>
      </c>
      <c r="B10" s="125" t="s">
        <v>85</v>
      </c>
      <c r="C10" s="125" t="s">
        <v>86</v>
      </c>
      <c r="D10" s="125" t="s">
        <v>87</v>
      </c>
      <c r="E10" s="125" t="s">
        <v>88</v>
      </c>
      <c r="F10" s="126" t="s">
        <v>89</v>
      </c>
      <c r="G10" s="126" t="s">
        <v>90</v>
      </c>
      <c r="H10" s="127" t="s">
        <v>91</v>
      </c>
      <c r="L10" s="117" t="s">
        <v>35</v>
      </c>
      <c r="M10" s="52"/>
      <c r="N10" s="52">
        <f>N5*N6*N7*N8</f>
        <v>160</v>
      </c>
      <c r="O10" s="52">
        <f>O5*O6*O7*O8</f>
        <v>600</v>
      </c>
      <c r="P10" s="52"/>
      <c r="Q10" s="52"/>
      <c r="R10" s="52"/>
      <c r="S10" s="52"/>
      <c r="T10" s="52"/>
    </row>
    <row r="11" spans="1:20" s="135" customFormat="1" ht="16.5" customHeight="1">
      <c r="A11" s="128">
        <v>1</v>
      </c>
      <c r="B11" s="129"/>
      <c r="C11" s="130" t="s">
        <v>183</v>
      </c>
      <c r="D11" s="131"/>
      <c r="E11" s="132"/>
      <c r="F11" s="132"/>
      <c r="G11" s="188" t="s">
        <v>92</v>
      </c>
      <c r="H11" s="134">
        <f>SUM(H12:H13)</f>
        <v>14074.4</v>
      </c>
      <c r="K11" s="136"/>
      <c r="L11" s="238"/>
      <c r="M11" s="238"/>
      <c r="N11" s="238"/>
      <c r="O11" s="238"/>
      <c r="P11" s="238"/>
      <c r="Q11" s="238"/>
      <c r="R11" s="238"/>
      <c r="S11" s="238"/>
      <c r="T11" s="238"/>
    </row>
    <row r="12" spans="1:20" s="137" customFormat="1" ht="20.25">
      <c r="A12" s="172" t="s">
        <v>18</v>
      </c>
      <c r="B12" s="294">
        <v>90777</v>
      </c>
      <c r="C12" s="250" t="s">
        <v>184</v>
      </c>
      <c r="D12" s="295" t="s">
        <v>185</v>
      </c>
      <c r="E12" s="247">
        <v>40</v>
      </c>
      <c r="F12" s="247">
        <v>114.12</v>
      </c>
      <c r="G12" s="174">
        <v>139.76</v>
      </c>
      <c r="H12" s="175">
        <f>G12*E12</f>
        <v>5590.4</v>
      </c>
      <c r="K12" s="138">
        <f aca="true" t="shared" si="0" ref="K12:K19">F12*1.2247</f>
        <v>139.76</v>
      </c>
      <c r="L12" s="239"/>
      <c r="M12" s="239"/>
      <c r="N12" s="239"/>
      <c r="O12" s="239"/>
      <c r="P12" s="239"/>
      <c r="Q12" s="239"/>
      <c r="R12" s="239"/>
      <c r="S12" s="239"/>
      <c r="T12" s="239"/>
    </row>
    <row r="13" spans="1:20" s="137" customFormat="1" ht="12.75">
      <c r="A13" s="417" t="s">
        <v>33</v>
      </c>
      <c r="B13" s="298">
        <v>90776</v>
      </c>
      <c r="C13" s="299" t="s">
        <v>186</v>
      </c>
      <c r="D13" s="300" t="s">
        <v>185</v>
      </c>
      <c r="E13" s="325">
        <v>120</v>
      </c>
      <c r="F13" s="325">
        <v>57.73</v>
      </c>
      <c r="G13" s="174">
        <v>70.7</v>
      </c>
      <c r="H13" s="175">
        <f>G13*E13</f>
        <v>8484</v>
      </c>
      <c r="K13" s="138">
        <f t="shared" si="0"/>
        <v>70.7</v>
      </c>
      <c r="L13" s="239"/>
      <c r="M13" s="239"/>
      <c r="N13" s="239"/>
      <c r="O13" s="239"/>
      <c r="P13" s="239"/>
      <c r="Q13" s="239"/>
      <c r="R13" s="239"/>
      <c r="S13" s="239"/>
      <c r="T13" s="239"/>
    </row>
    <row r="14" spans="1:20" s="171" customFormat="1" ht="12.75">
      <c r="A14" s="179">
        <v>2</v>
      </c>
      <c r="B14" s="168"/>
      <c r="C14" s="169" t="s">
        <v>1</v>
      </c>
      <c r="D14" s="170"/>
      <c r="E14" s="170"/>
      <c r="F14" s="170"/>
      <c r="G14" s="188" t="s">
        <v>92</v>
      </c>
      <c r="H14" s="433">
        <f>SUM(H15:H15)</f>
        <v>1786.49</v>
      </c>
      <c r="K14" s="138">
        <f t="shared" si="0"/>
        <v>0</v>
      </c>
      <c r="L14" s="240"/>
      <c r="M14" s="240"/>
      <c r="N14" s="240"/>
      <c r="O14" s="240"/>
      <c r="P14" s="240"/>
      <c r="Q14" s="240"/>
      <c r="R14" s="240"/>
      <c r="S14" s="240"/>
      <c r="T14" s="240"/>
    </row>
    <row r="15" spans="1:20" s="137" customFormat="1" ht="60.75">
      <c r="A15" s="476" t="s">
        <v>63</v>
      </c>
      <c r="B15" s="294" t="s">
        <v>188</v>
      </c>
      <c r="C15" s="250" t="s">
        <v>521</v>
      </c>
      <c r="D15" s="295" t="s">
        <v>93</v>
      </c>
      <c r="E15" s="247">
        <v>1</v>
      </c>
      <c r="F15" s="247">
        <v>1458.72</v>
      </c>
      <c r="G15" s="174">
        <v>1786.49</v>
      </c>
      <c r="H15" s="175">
        <f>G15*E15</f>
        <v>1786.49</v>
      </c>
      <c r="K15" s="138">
        <f t="shared" si="0"/>
        <v>1786.49</v>
      </c>
      <c r="L15" s="239"/>
      <c r="M15" s="239"/>
      <c r="N15" s="239"/>
      <c r="O15" s="239"/>
      <c r="P15" s="239"/>
      <c r="Q15" s="239"/>
      <c r="R15" s="239"/>
      <c r="S15" s="239"/>
      <c r="T15" s="239"/>
    </row>
    <row r="16" spans="1:20" s="186" customFormat="1" ht="16.5" customHeight="1">
      <c r="A16" s="179">
        <v>3</v>
      </c>
      <c r="B16" s="180"/>
      <c r="C16" s="181" t="s">
        <v>173</v>
      </c>
      <c r="D16" s="182"/>
      <c r="E16" s="183"/>
      <c r="F16" s="183"/>
      <c r="G16" s="184" t="s">
        <v>92</v>
      </c>
      <c r="H16" s="446">
        <f>SUM(H17:H27)</f>
        <v>18381.88</v>
      </c>
      <c r="K16" s="138">
        <f t="shared" si="0"/>
        <v>0</v>
      </c>
      <c r="L16" s="238"/>
      <c r="M16" s="238"/>
      <c r="N16" s="238"/>
      <c r="O16" s="238"/>
      <c r="P16" s="238"/>
      <c r="Q16" s="238"/>
      <c r="R16" s="238"/>
      <c r="S16" s="238"/>
      <c r="T16" s="238"/>
    </row>
    <row r="17" spans="1:20" s="137" customFormat="1" ht="20.25">
      <c r="A17" s="477" t="s">
        <v>482</v>
      </c>
      <c r="B17" s="294">
        <v>97622</v>
      </c>
      <c r="C17" s="250" t="s">
        <v>181</v>
      </c>
      <c r="D17" s="339" t="s">
        <v>95</v>
      </c>
      <c r="E17" s="247">
        <f>'MEMÓRIA DE CÁLCULO'!F6</f>
        <v>7.41</v>
      </c>
      <c r="F17" s="247">
        <v>52.1</v>
      </c>
      <c r="G17" s="174">
        <v>63.81</v>
      </c>
      <c r="H17" s="175">
        <f>G17*E17</f>
        <v>472.83</v>
      </c>
      <c r="K17" s="138">
        <f t="shared" si="0"/>
        <v>63.81</v>
      </c>
      <c r="L17" s="239"/>
      <c r="M17" s="457">
        <f>H19+H18</f>
        <v>8428.13</v>
      </c>
      <c r="N17" s="239"/>
      <c r="O17" s="239"/>
      <c r="P17" s="239"/>
      <c r="Q17" s="239"/>
      <c r="R17" s="239"/>
      <c r="S17" s="239"/>
      <c r="T17" s="239"/>
    </row>
    <row r="18" spans="1:20" s="59" customFormat="1" ht="20.25">
      <c r="A18" s="477" t="s">
        <v>483</v>
      </c>
      <c r="B18" s="478" t="s">
        <v>174</v>
      </c>
      <c r="C18" s="173" t="s">
        <v>175</v>
      </c>
      <c r="D18" s="295" t="s">
        <v>25</v>
      </c>
      <c r="E18" s="174">
        <f>'MEMÓRIA DE CÁLCULO'!F39</f>
        <v>198.25</v>
      </c>
      <c r="F18" s="174">
        <v>2.48</v>
      </c>
      <c r="G18" s="174">
        <v>3.04</v>
      </c>
      <c r="H18" s="175">
        <f>E18*G18</f>
        <v>602.68</v>
      </c>
      <c r="K18" s="139">
        <f t="shared" si="0"/>
        <v>3.04</v>
      </c>
      <c r="M18" s="59">
        <f>M17/H16</f>
        <v>0.458502068341214</v>
      </c>
      <c r="O18" s="117"/>
      <c r="P18" s="117"/>
      <c r="Q18" s="117"/>
      <c r="R18" s="117"/>
      <c r="S18" s="117"/>
      <c r="T18" s="117"/>
    </row>
    <row r="19" spans="1:20" s="59" customFormat="1" ht="20.25">
      <c r="A19" s="477" t="s">
        <v>46</v>
      </c>
      <c r="B19" s="478" t="s">
        <v>176</v>
      </c>
      <c r="C19" s="173" t="s">
        <v>177</v>
      </c>
      <c r="D19" s="295" t="s">
        <v>94</v>
      </c>
      <c r="E19" s="174">
        <f>'MEMÓRIA DE CÁLCULO'!F41</f>
        <v>295.3</v>
      </c>
      <c r="F19" s="174">
        <v>21.64</v>
      </c>
      <c r="G19" s="174">
        <v>26.5</v>
      </c>
      <c r="H19" s="175">
        <f aca="true" t="shared" si="1" ref="H19:H27">E19*G19</f>
        <v>7825.45</v>
      </c>
      <c r="K19" s="139">
        <f t="shared" si="0"/>
        <v>26.5</v>
      </c>
      <c r="N19" s="144"/>
      <c r="O19" s="117"/>
      <c r="P19" s="117"/>
      <c r="Q19" s="117"/>
      <c r="R19" s="117"/>
      <c r="S19" s="117"/>
      <c r="T19" s="117"/>
    </row>
    <row r="20" spans="1:20" s="59" customFormat="1" ht="20.25">
      <c r="A20" s="477" t="s">
        <v>47</v>
      </c>
      <c r="B20" s="479" t="s">
        <v>179</v>
      </c>
      <c r="C20" s="280" t="s">
        <v>178</v>
      </c>
      <c r="D20" s="366" t="s">
        <v>94</v>
      </c>
      <c r="E20" s="247">
        <f>'MEMÓRIA DE CÁLCULO'!F77</f>
        <v>7.32</v>
      </c>
      <c r="F20" s="247">
        <v>32.04</v>
      </c>
      <c r="G20" s="174">
        <v>39.24</v>
      </c>
      <c r="H20" s="175">
        <f t="shared" si="1"/>
        <v>287.24</v>
      </c>
      <c r="K20" s="139">
        <f aca="true" t="shared" si="2" ref="K20:K27">F20*1.2247</f>
        <v>39.24</v>
      </c>
      <c r="O20" s="117"/>
      <c r="P20" s="117"/>
      <c r="Q20" s="117"/>
      <c r="R20" s="117"/>
      <c r="S20" s="117"/>
      <c r="T20" s="117"/>
    </row>
    <row r="21" spans="1:11" s="59" customFormat="1" ht="20.25">
      <c r="A21" s="477" t="s">
        <v>48</v>
      </c>
      <c r="B21" s="479" t="s">
        <v>328</v>
      </c>
      <c r="C21" s="280" t="s">
        <v>329</v>
      </c>
      <c r="D21" s="366" t="s">
        <v>94</v>
      </c>
      <c r="E21" s="247">
        <f>'MEMÓRIA DE CÁLCULO'!F86</f>
        <v>29.4</v>
      </c>
      <c r="F21" s="247">
        <v>8.7</v>
      </c>
      <c r="G21" s="174">
        <v>10.65</v>
      </c>
      <c r="H21" s="175">
        <f t="shared" si="1"/>
        <v>313.11</v>
      </c>
      <c r="K21" s="139">
        <f>F21*1.2247</f>
        <v>10.65</v>
      </c>
    </row>
    <row r="22" spans="1:11" s="59" customFormat="1" ht="20.25">
      <c r="A22" s="477" t="s">
        <v>49</v>
      </c>
      <c r="B22" s="479" t="s">
        <v>180</v>
      </c>
      <c r="C22" s="280" t="s">
        <v>240</v>
      </c>
      <c r="D22" s="366" t="s">
        <v>93</v>
      </c>
      <c r="E22" s="247">
        <f>'MEMÓRIA DE CÁLCULO'!F108</f>
        <v>6</v>
      </c>
      <c r="F22" s="247">
        <v>11.49</v>
      </c>
      <c r="G22" s="174">
        <v>14.07</v>
      </c>
      <c r="H22" s="175">
        <f t="shared" si="1"/>
        <v>84.42</v>
      </c>
      <c r="K22" s="139">
        <f t="shared" si="2"/>
        <v>14.07</v>
      </c>
    </row>
    <row r="23" spans="1:11" s="59" customFormat="1" ht="20.25">
      <c r="A23" s="477" t="s">
        <v>189</v>
      </c>
      <c r="B23" s="479" t="s">
        <v>238</v>
      </c>
      <c r="C23" s="280" t="s">
        <v>239</v>
      </c>
      <c r="D23" s="366" t="s">
        <v>93</v>
      </c>
      <c r="E23" s="247">
        <f>'MEMÓRIA DE CÁLCULO'!F119</f>
        <v>7</v>
      </c>
      <c r="F23" s="247">
        <v>8.37</v>
      </c>
      <c r="G23" s="174">
        <v>10.25</v>
      </c>
      <c r="H23" s="175">
        <f t="shared" si="1"/>
        <v>71.75</v>
      </c>
      <c r="K23" s="139">
        <f t="shared" si="2"/>
        <v>10.25</v>
      </c>
    </row>
    <row r="24" spans="1:11" s="59" customFormat="1" ht="20.25">
      <c r="A24" s="477" t="s">
        <v>190</v>
      </c>
      <c r="B24" s="479" t="s">
        <v>193</v>
      </c>
      <c r="C24" s="280" t="s">
        <v>194</v>
      </c>
      <c r="D24" s="366" t="s">
        <v>94</v>
      </c>
      <c r="E24" s="247">
        <f>'MEMÓRIA DE CÁLCULO'!F131</f>
        <v>175.03</v>
      </c>
      <c r="F24" s="247">
        <v>1.65</v>
      </c>
      <c r="G24" s="247">
        <v>2.02</v>
      </c>
      <c r="H24" s="175">
        <f t="shared" si="1"/>
        <v>353.56</v>
      </c>
      <c r="K24" s="139">
        <f t="shared" si="2"/>
        <v>2.02</v>
      </c>
    </row>
    <row r="25" spans="1:11" s="59" customFormat="1" ht="20.25">
      <c r="A25" s="477" t="s">
        <v>192</v>
      </c>
      <c r="B25" s="479" t="s">
        <v>195</v>
      </c>
      <c r="C25" s="280" t="s">
        <v>197</v>
      </c>
      <c r="D25" s="366" t="s">
        <v>94</v>
      </c>
      <c r="E25" s="247">
        <f>'MEMÓRIA DE CÁLCULO'!F154</f>
        <v>175.36</v>
      </c>
      <c r="F25" s="247">
        <v>2.95</v>
      </c>
      <c r="G25" s="247">
        <v>3.61</v>
      </c>
      <c r="H25" s="175">
        <f t="shared" si="1"/>
        <v>633.05</v>
      </c>
      <c r="K25" s="139">
        <f t="shared" si="2"/>
        <v>3.61</v>
      </c>
    </row>
    <row r="26" spans="1:13" s="59" customFormat="1" ht="40.5">
      <c r="A26" s="477" t="s">
        <v>196</v>
      </c>
      <c r="B26" s="479" t="s">
        <v>198</v>
      </c>
      <c r="C26" s="280" t="s">
        <v>394</v>
      </c>
      <c r="D26" s="366" t="s">
        <v>94</v>
      </c>
      <c r="E26" s="247">
        <f>'MEMÓRIA DE CÁLCULO'!F177</f>
        <v>256.23</v>
      </c>
      <c r="F26" s="247">
        <v>23.9</v>
      </c>
      <c r="G26" s="247">
        <v>29.27</v>
      </c>
      <c r="H26" s="175">
        <f t="shared" si="1"/>
        <v>7499.85</v>
      </c>
      <c r="K26" s="139">
        <f t="shared" si="2"/>
        <v>29.27</v>
      </c>
      <c r="M26" s="144"/>
    </row>
    <row r="27" spans="1:11" s="59" customFormat="1" ht="60.75">
      <c r="A27" s="477" t="s">
        <v>471</v>
      </c>
      <c r="B27" s="479" t="s">
        <v>522</v>
      </c>
      <c r="C27" s="280" t="s">
        <v>395</v>
      </c>
      <c r="D27" s="366" t="s">
        <v>94</v>
      </c>
      <c r="E27" s="247">
        <f>'MEMÓRIA DE CÁLCULO'!F195</f>
        <v>3.66</v>
      </c>
      <c r="F27" s="247">
        <v>53.08</v>
      </c>
      <c r="G27" s="247">
        <v>65.01</v>
      </c>
      <c r="H27" s="175">
        <f t="shared" si="1"/>
        <v>237.94</v>
      </c>
      <c r="K27" s="139">
        <f t="shared" si="2"/>
        <v>65.01</v>
      </c>
    </row>
    <row r="28" spans="1:11" s="186" customFormat="1" ht="16.5" customHeight="1">
      <c r="A28" s="179">
        <v>4</v>
      </c>
      <c r="B28" s="180"/>
      <c r="C28" s="181" t="s">
        <v>96</v>
      </c>
      <c r="D28" s="182"/>
      <c r="E28" s="183"/>
      <c r="F28" s="183"/>
      <c r="G28" s="184" t="s">
        <v>92</v>
      </c>
      <c r="H28" s="185">
        <f>SUM(H29:H34)</f>
        <v>10856.42</v>
      </c>
      <c r="K28" s="187">
        <f aca="true" t="shared" si="3" ref="K28:K66">F28*1.2247</f>
        <v>0</v>
      </c>
    </row>
    <row r="29" spans="1:11" s="137" customFormat="1" ht="30">
      <c r="A29" s="172" t="s">
        <v>491</v>
      </c>
      <c r="B29" s="176" t="s">
        <v>191</v>
      </c>
      <c r="C29" s="173" t="s">
        <v>97</v>
      </c>
      <c r="D29" s="177" t="s">
        <v>94</v>
      </c>
      <c r="E29" s="174">
        <f>'MEMÓRIA DE CÁLCULO'!F205</f>
        <v>63.8</v>
      </c>
      <c r="F29" s="178">
        <v>75.84</v>
      </c>
      <c r="G29" s="174">
        <v>92.88</v>
      </c>
      <c r="H29" s="175">
        <f>E29*G29</f>
        <v>5925.74</v>
      </c>
      <c r="K29" s="138">
        <f>F29*1.2247</f>
        <v>92.88</v>
      </c>
    </row>
    <row r="30" spans="1:11" s="59" customFormat="1" ht="22.5" customHeight="1">
      <c r="A30" s="172" t="s">
        <v>492</v>
      </c>
      <c r="B30" s="176" t="s">
        <v>98</v>
      </c>
      <c r="C30" s="173" t="s">
        <v>38</v>
      </c>
      <c r="D30" s="177" t="s">
        <v>25</v>
      </c>
      <c r="E30" s="174">
        <f>'MEMÓRIA DE CÁLCULO'!F220</f>
        <v>17.1</v>
      </c>
      <c r="F30" s="178">
        <v>62.31</v>
      </c>
      <c r="G30" s="174">
        <v>76.31</v>
      </c>
      <c r="H30" s="175">
        <f>E30*G30</f>
        <v>1304.9</v>
      </c>
      <c r="K30" s="139">
        <f t="shared" si="3"/>
        <v>76.31</v>
      </c>
    </row>
    <row r="31" spans="1:11" s="59" customFormat="1" ht="22.5" customHeight="1">
      <c r="A31" s="172" t="s">
        <v>493</v>
      </c>
      <c r="B31" s="176" t="s">
        <v>99</v>
      </c>
      <c r="C31" s="173" t="s">
        <v>39</v>
      </c>
      <c r="D31" s="177" t="s">
        <v>25</v>
      </c>
      <c r="E31" s="174">
        <f>'MEMÓRIA DE CÁLCULO'!F234</f>
        <v>17.1</v>
      </c>
      <c r="F31" s="178">
        <v>60.81</v>
      </c>
      <c r="G31" s="174">
        <v>74.47</v>
      </c>
      <c r="H31" s="175">
        <f aca="true" t="shared" si="4" ref="H31:H41">E31*G31</f>
        <v>1273.44</v>
      </c>
      <c r="K31" s="139">
        <f t="shared" si="3"/>
        <v>74.47</v>
      </c>
    </row>
    <row r="32" spans="1:11" s="59" customFormat="1" ht="22.5" customHeight="1">
      <c r="A32" s="528" t="s">
        <v>494</v>
      </c>
      <c r="B32" s="526" t="s">
        <v>100</v>
      </c>
      <c r="C32" s="444" t="s">
        <v>40</v>
      </c>
      <c r="D32" s="441" t="s">
        <v>25</v>
      </c>
      <c r="E32" s="305">
        <f>'MEMÓRIA DE CÁLCULO'!F249</f>
        <v>24.15</v>
      </c>
      <c r="F32" s="445">
        <v>46.02</v>
      </c>
      <c r="G32" s="305">
        <v>56.36</v>
      </c>
      <c r="H32" s="306">
        <f t="shared" si="4"/>
        <v>1361.09</v>
      </c>
      <c r="K32" s="139">
        <f t="shared" si="3"/>
        <v>56.36</v>
      </c>
    </row>
    <row r="33" spans="1:11" s="59" customFormat="1" ht="22.5" customHeight="1">
      <c r="A33" s="296" t="s">
        <v>495</v>
      </c>
      <c r="B33" s="527" t="s">
        <v>518</v>
      </c>
      <c r="C33" s="523" t="s">
        <v>519</v>
      </c>
      <c r="D33" s="177" t="s">
        <v>25</v>
      </c>
      <c r="E33" s="178">
        <f>'MEMÓRIA DE CÁLCULO'!F273</f>
        <v>2.3</v>
      </c>
      <c r="F33" s="178">
        <v>78.02</v>
      </c>
      <c r="G33" s="178">
        <v>95.55</v>
      </c>
      <c r="H33" s="174">
        <f t="shared" si="4"/>
        <v>219.77</v>
      </c>
      <c r="K33" s="139">
        <f t="shared" si="3"/>
        <v>95.55</v>
      </c>
    </row>
    <row r="34" spans="1:11" s="59" customFormat="1" ht="40.5">
      <c r="A34" s="172" t="s">
        <v>517</v>
      </c>
      <c r="B34" s="525" t="s">
        <v>302</v>
      </c>
      <c r="C34" s="524" t="s">
        <v>402</v>
      </c>
      <c r="D34" s="330" t="s">
        <v>25</v>
      </c>
      <c r="E34" s="325">
        <f>'MEMÓRIA DE CÁLCULO'!F279</f>
        <v>18</v>
      </c>
      <c r="F34" s="326">
        <f>COMPOSIÇÃO_TRINCA!G14</f>
        <v>35</v>
      </c>
      <c r="G34" s="325">
        <v>42.86</v>
      </c>
      <c r="H34" s="522">
        <f>E34*G34</f>
        <v>771.48</v>
      </c>
      <c r="K34" s="139">
        <f t="shared" si="3"/>
        <v>42.86</v>
      </c>
    </row>
    <row r="35" spans="1:11" s="135" customFormat="1" ht="16.5" customHeight="1">
      <c r="A35" s="179">
        <v>5</v>
      </c>
      <c r="B35" s="180"/>
      <c r="C35" s="181" t="s">
        <v>3</v>
      </c>
      <c r="D35" s="442"/>
      <c r="E35" s="184"/>
      <c r="F35" s="184"/>
      <c r="G35" s="184" t="s">
        <v>92</v>
      </c>
      <c r="H35" s="185">
        <f>SUM(H36:H41)</f>
        <v>32714.1</v>
      </c>
      <c r="K35" s="139">
        <f t="shared" si="3"/>
        <v>0</v>
      </c>
    </row>
    <row r="36" spans="1:11" s="59" customFormat="1" ht="40.5">
      <c r="A36" s="172" t="s">
        <v>32</v>
      </c>
      <c r="B36" s="176" t="s">
        <v>479</v>
      </c>
      <c r="C36" s="173" t="s">
        <v>420</v>
      </c>
      <c r="D36" s="177" t="s">
        <v>94</v>
      </c>
      <c r="E36" s="174">
        <f>'MEMÓRIA DE CÁLCULO'!F287</f>
        <v>3.36</v>
      </c>
      <c r="F36" s="178">
        <v>630.31</v>
      </c>
      <c r="G36" s="174">
        <v>771.94</v>
      </c>
      <c r="H36" s="175">
        <f t="shared" si="4"/>
        <v>2593.72</v>
      </c>
      <c r="K36" s="139">
        <f t="shared" si="3"/>
        <v>771.94</v>
      </c>
    </row>
    <row r="37" spans="1:11" s="59" customFormat="1" ht="20.25">
      <c r="A37" s="172" t="s">
        <v>37</v>
      </c>
      <c r="B37" s="176" t="s">
        <v>480</v>
      </c>
      <c r="C37" s="173" t="s">
        <v>481</v>
      </c>
      <c r="D37" s="177" t="s">
        <v>94</v>
      </c>
      <c r="E37" s="174">
        <f>'MEMÓRIA DE CÁLCULO'!F294</f>
        <v>1.8</v>
      </c>
      <c r="F37" s="178">
        <v>396.67</v>
      </c>
      <c r="G37" s="174">
        <v>485.8</v>
      </c>
      <c r="H37" s="175">
        <f t="shared" si="4"/>
        <v>874.44</v>
      </c>
      <c r="K37" s="139">
        <f t="shared" si="3"/>
        <v>485.8</v>
      </c>
    </row>
    <row r="38" spans="1:12" s="313" customFormat="1" ht="30">
      <c r="A38" s="172" t="s">
        <v>64</v>
      </c>
      <c r="B38" s="176" t="s">
        <v>101</v>
      </c>
      <c r="C38" s="312" t="s">
        <v>102</v>
      </c>
      <c r="D38" s="177" t="s">
        <v>94</v>
      </c>
      <c r="E38" s="174">
        <f>'MEMÓRIA DE CÁLCULO'!F301</f>
        <v>5.16</v>
      </c>
      <c r="F38" s="178">
        <v>170.14</v>
      </c>
      <c r="G38" s="174">
        <v>208.37</v>
      </c>
      <c r="H38" s="175">
        <f t="shared" si="4"/>
        <v>1075.19</v>
      </c>
      <c r="K38" s="314">
        <f t="shared" si="3"/>
        <v>208.37</v>
      </c>
      <c r="L38" s="313" t="s">
        <v>287</v>
      </c>
    </row>
    <row r="39" spans="1:11" s="59" customFormat="1" ht="51">
      <c r="A39" s="172" t="s">
        <v>331</v>
      </c>
      <c r="B39" s="378" t="s">
        <v>327</v>
      </c>
      <c r="C39" s="312" t="s">
        <v>421</v>
      </c>
      <c r="D39" s="177" t="s">
        <v>93</v>
      </c>
      <c r="E39" s="174">
        <f>'MEMÓRIA DE CÁLCULO'!F310</f>
        <v>21</v>
      </c>
      <c r="F39" s="178">
        <v>906.47</v>
      </c>
      <c r="G39" s="174">
        <v>1110.15</v>
      </c>
      <c r="H39" s="175">
        <f t="shared" si="4"/>
        <v>23313.15</v>
      </c>
      <c r="K39" s="314">
        <f t="shared" si="3"/>
        <v>1110.15</v>
      </c>
    </row>
    <row r="40" spans="1:11" s="59" customFormat="1" ht="20.25" customHeight="1">
      <c r="A40" s="172" t="s">
        <v>375</v>
      </c>
      <c r="B40" s="176" t="s">
        <v>291</v>
      </c>
      <c r="C40" s="173" t="s">
        <v>292</v>
      </c>
      <c r="D40" s="281" t="s">
        <v>94</v>
      </c>
      <c r="E40" s="174">
        <f>'MEMÓRIA DE CÁLCULO'!F335</f>
        <v>5.25</v>
      </c>
      <c r="F40" s="178">
        <v>395.46</v>
      </c>
      <c r="G40" s="174">
        <v>484.32</v>
      </c>
      <c r="H40" s="175">
        <f t="shared" si="4"/>
        <v>2542.68</v>
      </c>
      <c r="K40" s="314">
        <f t="shared" si="3"/>
        <v>484.32</v>
      </c>
    </row>
    <row r="41" spans="1:11" s="59" customFormat="1" ht="30">
      <c r="A41" s="172" t="s">
        <v>496</v>
      </c>
      <c r="B41" s="328" t="s">
        <v>363</v>
      </c>
      <c r="C41" s="329" t="s">
        <v>423</v>
      </c>
      <c r="D41" s="441" t="s">
        <v>93</v>
      </c>
      <c r="E41" s="325">
        <v>1</v>
      </c>
      <c r="F41" s="326">
        <v>1890.19</v>
      </c>
      <c r="G41" s="325">
        <v>2314.92</v>
      </c>
      <c r="H41" s="306">
        <f t="shared" si="4"/>
        <v>2314.92</v>
      </c>
      <c r="K41" s="314">
        <f t="shared" si="3"/>
        <v>2314.92</v>
      </c>
    </row>
    <row r="42" spans="1:11" s="135" customFormat="1" ht="16.5" customHeight="1">
      <c r="A42" s="179">
        <v>6</v>
      </c>
      <c r="B42" s="180"/>
      <c r="C42" s="181" t="s">
        <v>4</v>
      </c>
      <c r="D42" s="182"/>
      <c r="E42" s="183"/>
      <c r="F42" s="183"/>
      <c r="G42" s="184" t="s">
        <v>92</v>
      </c>
      <c r="H42" s="185">
        <f>SUM(H43:H46)</f>
        <v>23054.1</v>
      </c>
      <c r="K42" s="314">
        <f t="shared" si="3"/>
        <v>0</v>
      </c>
    </row>
    <row r="43" spans="1:11" s="256" customFormat="1" ht="30">
      <c r="A43" s="172" t="s">
        <v>27</v>
      </c>
      <c r="B43" s="176" t="s">
        <v>317</v>
      </c>
      <c r="C43" s="173" t="s">
        <v>318</v>
      </c>
      <c r="D43" s="177" t="s">
        <v>484</v>
      </c>
      <c r="E43" s="174">
        <v>0.2</v>
      </c>
      <c r="F43" s="445">
        <v>1750</v>
      </c>
      <c r="G43" s="174">
        <v>2143.23</v>
      </c>
      <c r="H43" s="175">
        <f>E43*G43</f>
        <v>428.65</v>
      </c>
      <c r="K43" s="314">
        <f t="shared" si="3"/>
        <v>2143.23</v>
      </c>
    </row>
    <row r="44" spans="1:11" s="256" customFormat="1" ht="30">
      <c r="A44" s="172" t="s">
        <v>319</v>
      </c>
      <c r="B44" s="279" t="s">
        <v>302</v>
      </c>
      <c r="C44" s="280" t="str">
        <f>COMPOSIÇÃO_COBERTURA!C9</f>
        <v>TELHAMENTO COM TELHA CERÂMICA CAPA-CANAL, TIPO COLONIAL, COM ATÉ 2 ÁGUAS,INCLUSO TRANSPORTE VERTICAL. AF_07/2019</v>
      </c>
      <c r="D44" s="177" t="s">
        <v>94</v>
      </c>
      <c r="E44" s="499">
        <f>'MEMÓRIA DE CÁLCULO'!F357</f>
        <v>256.23</v>
      </c>
      <c r="F44" s="174">
        <v>13.67</v>
      </c>
      <c r="G44" s="178">
        <v>16.74</v>
      </c>
      <c r="H44" s="175">
        <f>E44*G44</f>
        <v>4289.29</v>
      </c>
      <c r="K44" s="314">
        <f t="shared" si="3"/>
        <v>16.74</v>
      </c>
    </row>
    <row r="45" spans="1:13" s="59" customFormat="1" ht="40.5">
      <c r="A45" s="172" t="s">
        <v>371</v>
      </c>
      <c r="B45" s="176" t="s">
        <v>353</v>
      </c>
      <c r="C45" s="173" t="s">
        <v>398</v>
      </c>
      <c r="D45" s="177" t="s">
        <v>94</v>
      </c>
      <c r="E45" s="174">
        <f>'MEMÓRIA DE CÁLCULO'!F376</f>
        <v>173.44</v>
      </c>
      <c r="F45" s="178">
        <v>68.28</v>
      </c>
      <c r="G45" s="174">
        <v>83.62</v>
      </c>
      <c r="H45" s="175">
        <f>E45*G45</f>
        <v>14503.05</v>
      </c>
      <c r="K45" s="314">
        <f>F45*1.2247</f>
        <v>83.62</v>
      </c>
      <c r="M45" s="144">
        <f>H46+H45</f>
        <v>18336.16</v>
      </c>
    </row>
    <row r="46" spans="1:13" s="59" customFormat="1" ht="20.25">
      <c r="A46" s="172" t="s">
        <v>372</v>
      </c>
      <c r="B46" s="328" t="s">
        <v>269</v>
      </c>
      <c r="C46" s="329" t="s">
        <v>270</v>
      </c>
      <c r="D46" s="441" t="s">
        <v>25</v>
      </c>
      <c r="E46" s="305">
        <f>'MEMÓRIA DE CÁLCULO'!F405</f>
        <v>239.42</v>
      </c>
      <c r="F46" s="445">
        <v>13.07</v>
      </c>
      <c r="G46" s="305">
        <v>16.01</v>
      </c>
      <c r="H46" s="306">
        <f>E46*G46</f>
        <v>3833.11</v>
      </c>
      <c r="K46" s="314">
        <f>F46*1.2247</f>
        <v>16.01</v>
      </c>
      <c r="M46" s="59">
        <f>M45/H42</f>
        <v>0.795353537982398</v>
      </c>
    </row>
    <row r="47" spans="1:11" s="135" customFormat="1" ht="16.5" customHeight="1">
      <c r="A47" s="128">
        <v>7</v>
      </c>
      <c r="B47" s="140"/>
      <c r="C47" s="141" t="s">
        <v>103</v>
      </c>
      <c r="D47" s="142"/>
      <c r="E47" s="143"/>
      <c r="F47" s="143"/>
      <c r="G47" s="133" t="s">
        <v>92</v>
      </c>
      <c r="H47" s="134">
        <f>SUM(H48:H50)</f>
        <v>6452.55</v>
      </c>
      <c r="K47" s="314">
        <f t="shared" si="3"/>
        <v>0</v>
      </c>
    </row>
    <row r="48" spans="1:11" s="59" customFormat="1" ht="36" customHeight="1">
      <c r="A48" s="172" t="s">
        <v>65</v>
      </c>
      <c r="B48" s="176" t="s">
        <v>261</v>
      </c>
      <c r="C48" s="173" t="s">
        <v>262</v>
      </c>
      <c r="D48" s="177" t="s">
        <v>94</v>
      </c>
      <c r="E48" s="174">
        <f>'MEMÓRIA DE CÁLCULO'!F435</f>
        <v>122.86</v>
      </c>
      <c r="F48" s="178">
        <v>4.72</v>
      </c>
      <c r="G48" s="174">
        <v>5.78</v>
      </c>
      <c r="H48" s="175">
        <f aca="true" t="shared" si="5" ref="H48:H66">E48*G48</f>
        <v>710.13</v>
      </c>
      <c r="K48" s="314">
        <f t="shared" si="3"/>
        <v>5.78</v>
      </c>
    </row>
    <row r="49" spans="1:11" s="59" customFormat="1" ht="51">
      <c r="A49" s="172" t="s">
        <v>104</v>
      </c>
      <c r="B49" s="176" t="s">
        <v>320</v>
      </c>
      <c r="C49" s="173" t="s">
        <v>396</v>
      </c>
      <c r="D49" s="177" t="s">
        <v>94</v>
      </c>
      <c r="E49" s="174">
        <f>'MEMÓRIA DE CÁLCULO'!F452</f>
        <v>89.45</v>
      </c>
      <c r="F49" s="178">
        <v>41.03</v>
      </c>
      <c r="G49" s="174">
        <v>50.25</v>
      </c>
      <c r="H49" s="175">
        <f>E49*G49</f>
        <v>4494.86</v>
      </c>
      <c r="K49" s="314">
        <f t="shared" si="3"/>
        <v>50.25</v>
      </c>
    </row>
    <row r="50" spans="1:11" s="59" customFormat="1" ht="59.25" customHeight="1">
      <c r="A50" s="172" t="s">
        <v>497</v>
      </c>
      <c r="B50" s="176" t="s">
        <v>321</v>
      </c>
      <c r="C50" s="173" t="s">
        <v>397</v>
      </c>
      <c r="D50" s="177" t="s">
        <v>94</v>
      </c>
      <c r="E50" s="174">
        <f>'MEMÓRIA DE CÁLCULO'!F470</f>
        <v>25.67</v>
      </c>
      <c r="F50" s="178">
        <v>39.68</v>
      </c>
      <c r="G50" s="174">
        <v>48.6</v>
      </c>
      <c r="H50" s="175">
        <f>E50*G50</f>
        <v>1247.56</v>
      </c>
      <c r="K50" s="314">
        <f t="shared" si="3"/>
        <v>48.6</v>
      </c>
    </row>
    <row r="51" spans="1:11" s="135" customFormat="1" ht="16.5" customHeight="1">
      <c r="A51" s="179">
        <v>8</v>
      </c>
      <c r="B51" s="180"/>
      <c r="C51" s="181" t="s">
        <v>57</v>
      </c>
      <c r="D51" s="182"/>
      <c r="E51" s="183"/>
      <c r="F51" s="183"/>
      <c r="G51" s="184" t="s">
        <v>92</v>
      </c>
      <c r="H51" s="185">
        <f>SUM(H52:H56)</f>
        <v>24142.84</v>
      </c>
      <c r="K51" s="314">
        <f t="shared" si="3"/>
        <v>0</v>
      </c>
    </row>
    <row r="52" spans="1:11" s="59" customFormat="1" ht="30">
      <c r="A52" s="172" t="s">
        <v>28</v>
      </c>
      <c r="B52" s="176" t="s">
        <v>293</v>
      </c>
      <c r="C52" s="173" t="s">
        <v>294</v>
      </c>
      <c r="D52" s="177" t="s">
        <v>94</v>
      </c>
      <c r="E52" s="174">
        <f>'MEMÓRIA DE CÁLCULO'!F483</f>
        <v>29.88</v>
      </c>
      <c r="F52" s="174">
        <v>69.25</v>
      </c>
      <c r="G52" s="174">
        <v>84.81</v>
      </c>
      <c r="H52" s="175">
        <f>E52*G52</f>
        <v>2534.12</v>
      </c>
      <c r="K52" s="314">
        <f t="shared" si="3"/>
        <v>84.81</v>
      </c>
    </row>
    <row r="53" spans="1:11" s="59" customFormat="1" ht="30">
      <c r="A53" s="172" t="s">
        <v>295</v>
      </c>
      <c r="B53" s="279" t="s">
        <v>297</v>
      </c>
      <c r="C53" s="280" t="s">
        <v>298</v>
      </c>
      <c r="D53" s="177" t="s">
        <v>94</v>
      </c>
      <c r="E53" s="247">
        <f>'MEMÓRIA DE CÁLCULO'!F498</f>
        <v>65.22</v>
      </c>
      <c r="F53" s="247">
        <v>58.63</v>
      </c>
      <c r="G53" s="247">
        <v>71.8</v>
      </c>
      <c r="H53" s="175">
        <f t="shared" si="5"/>
        <v>4682.8</v>
      </c>
      <c r="K53" s="314">
        <f t="shared" si="3"/>
        <v>71.8</v>
      </c>
    </row>
    <row r="54" spans="1:11" s="59" customFormat="1" ht="30">
      <c r="A54" s="172" t="s">
        <v>296</v>
      </c>
      <c r="B54" s="279" t="s">
        <v>299</v>
      </c>
      <c r="C54" s="280" t="s">
        <v>300</v>
      </c>
      <c r="D54" s="177" t="s">
        <v>94</v>
      </c>
      <c r="E54" s="247">
        <f>'MEMÓRIA DE CÁLCULO'!F512</f>
        <v>171.33</v>
      </c>
      <c r="F54" s="247">
        <v>49.99</v>
      </c>
      <c r="G54" s="247">
        <v>61.22</v>
      </c>
      <c r="H54" s="175">
        <f t="shared" si="5"/>
        <v>10488.82</v>
      </c>
      <c r="K54" s="314">
        <f t="shared" si="3"/>
        <v>61.22</v>
      </c>
    </row>
    <row r="55" spans="1:11" s="59" customFormat="1" ht="20.25">
      <c r="A55" s="172" t="s">
        <v>498</v>
      </c>
      <c r="B55" s="328" t="s">
        <v>301</v>
      </c>
      <c r="C55" s="329" t="s">
        <v>370</v>
      </c>
      <c r="D55" s="330" t="s">
        <v>25</v>
      </c>
      <c r="E55" s="325">
        <f>'MEMÓRIA DE CÁLCULO'!F525</f>
        <v>224.05</v>
      </c>
      <c r="F55" s="325">
        <v>8.25</v>
      </c>
      <c r="G55" s="325">
        <v>10.1</v>
      </c>
      <c r="H55" s="306">
        <f t="shared" si="5"/>
        <v>2262.91</v>
      </c>
      <c r="K55" s="314">
        <f>F55*1.2247</f>
        <v>10.1</v>
      </c>
    </row>
    <row r="56" spans="1:11" s="59" customFormat="1" ht="60.75">
      <c r="A56" s="172" t="s">
        <v>499</v>
      </c>
      <c r="B56" s="176" t="s">
        <v>476</v>
      </c>
      <c r="C56" s="173" t="s">
        <v>477</v>
      </c>
      <c r="D56" s="177" t="s">
        <v>94</v>
      </c>
      <c r="E56" s="174">
        <f>'MEMÓRIA DE CÁLCULO'!F551</f>
        <v>46.19</v>
      </c>
      <c r="F56" s="174">
        <v>73.79</v>
      </c>
      <c r="G56" s="174">
        <v>90.37</v>
      </c>
      <c r="H56" s="174">
        <f t="shared" si="5"/>
        <v>4174.19</v>
      </c>
      <c r="K56" s="314">
        <f>F56*1.2247</f>
        <v>90.37</v>
      </c>
    </row>
    <row r="57" spans="1:11" s="135" customFormat="1" ht="16.5" customHeight="1">
      <c r="A57" s="128">
        <v>9</v>
      </c>
      <c r="B57" s="140"/>
      <c r="C57" s="141" t="s">
        <v>5</v>
      </c>
      <c r="D57" s="142"/>
      <c r="E57" s="143"/>
      <c r="F57" s="143"/>
      <c r="G57" s="133" t="s">
        <v>92</v>
      </c>
      <c r="H57" s="145">
        <f>SUM(H58:H66)</f>
        <v>38600.95</v>
      </c>
      <c r="K57" s="314">
        <f t="shared" si="3"/>
        <v>0</v>
      </c>
    </row>
    <row r="58" spans="1:11" s="135" customFormat="1" ht="16.5" customHeight="1">
      <c r="A58" s="172" t="s">
        <v>500</v>
      </c>
      <c r="B58" s="249" t="s">
        <v>281</v>
      </c>
      <c r="C58" s="250" t="s">
        <v>282</v>
      </c>
      <c r="D58" s="251" t="s">
        <v>94</v>
      </c>
      <c r="E58" s="247">
        <f>'MEMÓRIA DE CÁLCULO'!F564</f>
        <v>858.54</v>
      </c>
      <c r="F58" s="248">
        <v>2.97</v>
      </c>
      <c r="G58" s="174">
        <v>3.64</v>
      </c>
      <c r="H58" s="175">
        <f>E58*G58</f>
        <v>3125.09</v>
      </c>
      <c r="K58" s="314">
        <f t="shared" si="3"/>
        <v>3.64</v>
      </c>
    </row>
    <row r="59" spans="1:11" s="135" customFormat="1" ht="23.25" customHeight="1">
      <c r="A59" s="172" t="s">
        <v>501</v>
      </c>
      <c r="B59" s="249" t="s">
        <v>485</v>
      </c>
      <c r="C59" s="394" t="s">
        <v>436</v>
      </c>
      <c r="D59" s="251" t="s">
        <v>94</v>
      </c>
      <c r="E59" s="247">
        <f>'MEMÓRIA DE CÁLCULO'!F595</f>
        <v>587.7</v>
      </c>
      <c r="F59" s="248">
        <v>12.75</v>
      </c>
      <c r="G59" s="174">
        <v>15.61</v>
      </c>
      <c r="H59" s="175">
        <f>E59*G59</f>
        <v>9174</v>
      </c>
      <c r="K59" s="314">
        <f t="shared" si="3"/>
        <v>15.61</v>
      </c>
    </row>
    <row r="60" spans="1:11" s="59" customFormat="1" ht="25.5" customHeight="1">
      <c r="A60" s="172" t="s">
        <v>109</v>
      </c>
      <c r="B60" s="176" t="s">
        <v>105</v>
      </c>
      <c r="C60" s="173" t="s">
        <v>437</v>
      </c>
      <c r="D60" s="177" t="s">
        <v>94</v>
      </c>
      <c r="E60" s="174">
        <f>'MEMÓRIA DE CÁLCULO'!F623</f>
        <v>95.24</v>
      </c>
      <c r="F60" s="178">
        <v>4.14</v>
      </c>
      <c r="G60" s="174">
        <v>5.07</v>
      </c>
      <c r="H60" s="175">
        <f t="shared" si="5"/>
        <v>482.87</v>
      </c>
      <c r="K60" s="314">
        <f t="shared" si="3"/>
        <v>5.07</v>
      </c>
    </row>
    <row r="61" spans="1:11" s="59" customFormat="1" ht="20.25">
      <c r="A61" s="172" t="s">
        <v>112</v>
      </c>
      <c r="B61" s="176" t="s">
        <v>106</v>
      </c>
      <c r="C61" s="173" t="s">
        <v>41</v>
      </c>
      <c r="D61" s="177" t="s">
        <v>94</v>
      </c>
      <c r="E61" s="174">
        <f>'MEMÓRIA DE CÁLCULO'!F639</f>
        <v>604.6</v>
      </c>
      <c r="F61" s="178">
        <v>15.22</v>
      </c>
      <c r="G61" s="174">
        <v>18.64</v>
      </c>
      <c r="H61" s="175">
        <f t="shared" si="5"/>
        <v>11269.74</v>
      </c>
      <c r="K61" s="314">
        <f t="shared" si="3"/>
        <v>18.64</v>
      </c>
    </row>
    <row r="62" spans="1:14" s="59" customFormat="1" ht="30">
      <c r="A62" s="172" t="s">
        <v>386</v>
      </c>
      <c r="B62" s="176" t="s">
        <v>382</v>
      </c>
      <c r="C62" s="173" t="s">
        <v>404</v>
      </c>
      <c r="D62" s="177" t="s">
        <v>94</v>
      </c>
      <c r="E62" s="174">
        <f>'MEMÓRIA DE CÁLCULO'!F670</f>
        <v>345.9</v>
      </c>
      <c r="F62" s="178">
        <v>23.89</v>
      </c>
      <c r="G62" s="174">
        <v>29.26</v>
      </c>
      <c r="H62" s="175">
        <f t="shared" si="5"/>
        <v>10121.03</v>
      </c>
      <c r="K62" s="314">
        <f t="shared" si="3"/>
        <v>29.26</v>
      </c>
      <c r="N62" s="59" t="s">
        <v>383</v>
      </c>
    </row>
    <row r="63" spans="1:11" s="59" customFormat="1" ht="26.25" customHeight="1">
      <c r="A63" s="172" t="s">
        <v>387</v>
      </c>
      <c r="B63" s="176" t="s">
        <v>289</v>
      </c>
      <c r="C63" s="173" t="s">
        <v>405</v>
      </c>
      <c r="D63" s="177" t="s">
        <v>94</v>
      </c>
      <c r="E63" s="174">
        <f>'MEMÓRIA DE CÁLCULO'!F696</f>
        <v>75.44</v>
      </c>
      <c r="F63" s="178">
        <v>5.01</v>
      </c>
      <c r="G63" s="174">
        <v>6.14</v>
      </c>
      <c r="H63" s="175">
        <f t="shared" si="5"/>
        <v>463.2</v>
      </c>
      <c r="K63" s="314">
        <f t="shared" si="3"/>
        <v>6.14</v>
      </c>
    </row>
    <row r="64" spans="1:11" s="59" customFormat="1" ht="27.75" customHeight="1">
      <c r="A64" s="172" t="s">
        <v>475</v>
      </c>
      <c r="B64" s="176" t="s">
        <v>107</v>
      </c>
      <c r="C64" s="173" t="s">
        <v>45</v>
      </c>
      <c r="D64" s="177" t="s">
        <v>94</v>
      </c>
      <c r="E64" s="174">
        <f>'MEMÓRIA DE CÁLCULO'!F716</f>
        <v>41.04</v>
      </c>
      <c r="F64" s="178">
        <v>34.95</v>
      </c>
      <c r="G64" s="174">
        <v>42.8</v>
      </c>
      <c r="H64" s="175">
        <f t="shared" si="5"/>
        <v>1756.51</v>
      </c>
      <c r="K64" s="314">
        <f t="shared" si="3"/>
        <v>42.8</v>
      </c>
    </row>
    <row r="65" spans="1:11" s="59" customFormat="1" ht="30">
      <c r="A65" s="172" t="s">
        <v>502</v>
      </c>
      <c r="B65" s="328" t="s">
        <v>341</v>
      </c>
      <c r="C65" s="329" t="s">
        <v>486</v>
      </c>
      <c r="D65" s="339" t="s">
        <v>94</v>
      </c>
      <c r="E65" s="325">
        <f>'MEMÓRIA DE CÁLCULO'!F738</f>
        <v>46.3</v>
      </c>
      <c r="F65" s="326">
        <v>34.95</v>
      </c>
      <c r="G65" s="325">
        <v>42.8</v>
      </c>
      <c r="H65" s="175">
        <f t="shared" si="5"/>
        <v>1981.64</v>
      </c>
      <c r="K65" s="314">
        <f t="shared" si="3"/>
        <v>42.8</v>
      </c>
    </row>
    <row r="66" spans="1:11" s="59" customFormat="1" ht="30">
      <c r="A66" s="172" t="s">
        <v>503</v>
      </c>
      <c r="B66" s="443" t="s">
        <v>343</v>
      </c>
      <c r="C66" s="444" t="s">
        <v>406</v>
      </c>
      <c r="D66" s="330" t="s">
        <v>94</v>
      </c>
      <c r="E66" s="305">
        <f>'MEMÓRIA DE CÁLCULO'!F747</f>
        <v>15.36</v>
      </c>
      <c r="F66" s="445">
        <v>12.06</v>
      </c>
      <c r="G66" s="305">
        <v>14.77</v>
      </c>
      <c r="H66" s="306">
        <f t="shared" si="5"/>
        <v>226.87</v>
      </c>
      <c r="K66" s="314">
        <f t="shared" si="3"/>
        <v>14.77</v>
      </c>
    </row>
    <row r="67" spans="1:11" s="135" customFormat="1" ht="16.5" customHeight="1">
      <c r="A67" s="179">
        <v>10</v>
      </c>
      <c r="B67" s="180"/>
      <c r="C67" s="181" t="s">
        <v>108</v>
      </c>
      <c r="D67" s="182"/>
      <c r="E67" s="183"/>
      <c r="F67" s="183"/>
      <c r="G67" s="184" t="s">
        <v>92</v>
      </c>
      <c r="H67" s="185">
        <f>SUM(H68:H74)</f>
        <v>4970.26</v>
      </c>
      <c r="K67" s="139">
        <f aca="true" t="shared" si="6" ref="K67:K89">F67*1.2247</f>
        <v>0</v>
      </c>
    </row>
    <row r="68" spans="1:11" s="59" customFormat="1" ht="48.75" customHeight="1">
      <c r="A68" s="172" t="s">
        <v>66</v>
      </c>
      <c r="B68" s="249">
        <v>89957</v>
      </c>
      <c r="C68" s="250" t="s">
        <v>364</v>
      </c>
      <c r="D68" s="251" t="s">
        <v>93</v>
      </c>
      <c r="E68" s="247">
        <f>'MEMÓRIA DE CÁLCULO'!F761</f>
        <v>5</v>
      </c>
      <c r="F68" s="248">
        <v>145.65</v>
      </c>
      <c r="G68" s="174">
        <v>180.3</v>
      </c>
      <c r="H68" s="175">
        <f aca="true" t="shared" si="7" ref="H68:H74">E68*G68</f>
        <v>901.5</v>
      </c>
      <c r="K68" s="139">
        <f aca="true" t="shared" si="8" ref="K68:K74">F68*1.2247</f>
        <v>178.38</v>
      </c>
    </row>
    <row r="69" spans="1:11" s="59" customFormat="1" ht="45" customHeight="1">
      <c r="A69" s="172" t="s">
        <v>67</v>
      </c>
      <c r="B69" s="279" t="s">
        <v>365</v>
      </c>
      <c r="C69" s="280" t="s">
        <v>441</v>
      </c>
      <c r="D69" s="281" t="s">
        <v>25</v>
      </c>
      <c r="E69" s="247">
        <f>'MEMÓRIA DE CÁLCULO'!F768</f>
        <v>9</v>
      </c>
      <c r="F69" s="248">
        <v>43.03</v>
      </c>
      <c r="G69" s="247">
        <v>52.7</v>
      </c>
      <c r="H69" s="175">
        <f t="shared" si="7"/>
        <v>474.3</v>
      </c>
      <c r="K69" s="139">
        <f t="shared" si="8"/>
        <v>52.7</v>
      </c>
    </row>
    <row r="70" spans="1:11" s="59" customFormat="1" ht="71.25">
      <c r="A70" s="172" t="s">
        <v>68</v>
      </c>
      <c r="B70" s="249" t="s">
        <v>110</v>
      </c>
      <c r="C70" s="250" t="s">
        <v>111</v>
      </c>
      <c r="D70" s="251" t="s">
        <v>93</v>
      </c>
      <c r="E70" s="247">
        <f>'MEMÓRIA DE CÁLCULO'!F775</f>
        <v>5</v>
      </c>
      <c r="F70" s="248">
        <v>155.45</v>
      </c>
      <c r="G70" s="174">
        <v>190.38</v>
      </c>
      <c r="H70" s="175">
        <f t="shared" si="7"/>
        <v>951.9</v>
      </c>
      <c r="K70" s="139">
        <f t="shared" si="8"/>
        <v>190.38</v>
      </c>
    </row>
    <row r="71" spans="1:11" s="59" customFormat="1" ht="51">
      <c r="A71" s="172" t="s">
        <v>69</v>
      </c>
      <c r="B71" s="249" t="s">
        <v>113</v>
      </c>
      <c r="C71" s="250" t="s">
        <v>114</v>
      </c>
      <c r="D71" s="251" t="s">
        <v>93</v>
      </c>
      <c r="E71" s="247">
        <f>'MEMÓRIA DE CÁLCULO'!F783</f>
        <v>5</v>
      </c>
      <c r="F71" s="248">
        <v>305.55</v>
      </c>
      <c r="G71" s="174">
        <v>374.21</v>
      </c>
      <c r="H71" s="175">
        <f t="shared" si="7"/>
        <v>1871.05</v>
      </c>
      <c r="K71" s="139">
        <f t="shared" si="8"/>
        <v>374.21</v>
      </c>
    </row>
    <row r="72" spans="1:11" s="321" customFormat="1" ht="51">
      <c r="A72" s="172" t="s">
        <v>376</v>
      </c>
      <c r="B72" s="249" t="s">
        <v>115</v>
      </c>
      <c r="C72" s="250" t="s">
        <v>116</v>
      </c>
      <c r="D72" s="251" t="s">
        <v>93</v>
      </c>
      <c r="E72" s="247">
        <f>'MEMÓRIA DE CÁLCULO'!F792</f>
        <v>3</v>
      </c>
      <c r="F72" s="248">
        <v>169.45</v>
      </c>
      <c r="G72" s="174">
        <v>207.53</v>
      </c>
      <c r="H72" s="175">
        <f t="shared" si="7"/>
        <v>622.59</v>
      </c>
      <c r="K72" s="322">
        <f t="shared" si="8"/>
        <v>207.53</v>
      </c>
    </row>
    <row r="73" spans="1:11" s="321" customFormat="1" ht="20.25">
      <c r="A73" s="172" t="s">
        <v>377</v>
      </c>
      <c r="B73" s="249">
        <v>90447</v>
      </c>
      <c r="C73" s="250" t="s">
        <v>449</v>
      </c>
      <c r="D73" s="251" t="s">
        <v>25</v>
      </c>
      <c r="E73" s="247">
        <v>12</v>
      </c>
      <c r="F73" s="248">
        <v>6.75</v>
      </c>
      <c r="G73" s="247">
        <v>8.27</v>
      </c>
      <c r="H73" s="175">
        <f t="shared" si="7"/>
        <v>99.24</v>
      </c>
      <c r="K73" s="322">
        <f t="shared" si="8"/>
        <v>8.27</v>
      </c>
    </row>
    <row r="74" spans="1:11" s="321" customFormat="1" ht="40.5">
      <c r="A74" s="172" t="s">
        <v>378</v>
      </c>
      <c r="B74" s="249" t="s">
        <v>452</v>
      </c>
      <c r="C74" s="250" t="s">
        <v>453</v>
      </c>
      <c r="D74" s="251" t="s">
        <v>25</v>
      </c>
      <c r="E74" s="247">
        <v>12</v>
      </c>
      <c r="F74" s="248">
        <v>3.38</v>
      </c>
      <c r="G74" s="247">
        <v>4.14</v>
      </c>
      <c r="H74" s="359">
        <f t="shared" si="7"/>
        <v>49.68</v>
      </c>
      <c r="K74" s="322">
        <f t="shared" si="8"/>
        <v>4.14</v>
      </c>
    </row>
    <row r="75" spans="1:11" s="135" customFormat="1" ht="16.5" customHeight="1">
      <c r="A75" s="128">
        <v>11</v>
      </c>
      <c r="B75" s="140"/>
      <c r="C75" s="141" t="s">
        <v>42</v>
      </c>
      <c r="D75" s="142"/>
      <c r="E75" s="143"/>
      <c r="F75" s="143"/>
      <c r="G75" s="184" t="s">
        <v>92</v>
      </c>
      <c r="H75" s="145">
        <f>SUM(H76:H87)</f>
        <v>11971.08</v>
      </c>
      <c r="K75" s="139">
        <f t="shared" si="6"/>
        <v>0</v>
      </c>
    </row>
    <row r="76" spans="1:11" s="59" customFormat="1" ht="51">
      <c r="A76" s="172" t="s">
        <v>50</v>
      </c>
      <c r="B76" s="176" t="s">
        <v>117</v>
      </c>
      <c r="C76" s="173" t="s">
        <v>43</v>
      </c>
      <c r="D76" s="177" t="s">
        <v>93</v>
      </c>
      <c r="E76" s="174">
        <f>'MEMÓRIA DE CÁLCULO'!F801</f>
        <v>4</v>
      </c>
      <c r="F76" s="178">
        <v>745.2</v>
      </c>
      <c r="G76" s="174">
        <v>912.65</v>
      </c>
      <c r="H76" s="175">
        <f aca="true" t="shared" si="9" ref="H76:H86">E76*G76</f>
        <v>3650.6</v>
      </c>
      <c r="K76" s="139">
        <f>F76*1.2247</f>
        <v>912.65</v>
      </c>
    </row>
    <row r="77" spans="1:11" s="59" customFormat="1" ht="104.25" customHeight="1">
      <c r="A77" s="172" t="s">
        <v>51</v>
      </c>
      <c r="B77" s="176" t="s">
        <v>333</v>
      </c>
      <c r="C77" s="367" t="s">
        <v>407</v>
      </c>
      <c r="D77" s="177" t="s">
        <v>93</v>
      </c>
      <c r="E77" s="174">
        <v>1</v>
      </c>
      <c r="F77" s="178">
        <v>764.01</v>
      </c>
      <c r="G77" s="174">
        <v>935.68</v>
      </c>
      <c r="H77" s="175">
        <f t="shared" si="9"/>
        <v>935.68</v>
      </c>
      <c r="K77" s="139">
        <f t="shared" si="6"/>
        <v>935.68</v>
      </c>
    </row>
    <row r="78" spans="1:11" s="59" customFormat="1" ht="20.25">
      <c r="A78" s="172" t="s">
        <v>70</v>
      </c>
      <c r="B78" s="176" t="s">
        <v>442</v>
      </c>
      <c r="C78" s="367" t="s">
        <v>443</v>
      </c>
      <c r="D78" s="177" t="s">
        <v>93</v>
      </c>
      <c r="E78" s="174">
        <v>5</v>
      </c>
      <c r="F78" s="178">
        <v>299.48</v>
      </c>
      <c r="G78" s="174">
        <v>366.77</v>
      </c>
      <c r="H78" s="175">
        <f t="shared" si="9"/>
        <v>1833.85</v>
      </c>
      <c r="K78" s="139">
        <f t="shared" si="6"/>
        <v>366.77</v>
      </c>
    </row>
    <row r="79" spans="1:11" s="59" customFormat="1" ht="40.5">
      <c r="A79" s="172" t="s">
        <v>71</v>
      </c>
      <c r="B79" s="176" t="s">
        <v>444</v>
      </c>
      <c r="C79" s="173" t="s">
        <v>445</v>
      </c>
      <c r="D79" s="177" t="s">
        <v>93</v>
      </c>
      <c r="E79" s="174">
        <f>'MEMÓRIA DE CÁLCULO'!F815</f>
        <v>4</v>
      </c>
      <c r="F79" s="178">
        <v>338.68</v>
      </c>
      <c r="G79" s="174">
        <v>414.78</v>
      </c>
      <c r="H79" s="175">
        <f t="shared" si="9"/>
        <v>1659.12</v>
      </c>
      <c r="K79" s="139">
        <f t="shared" si="6"/>
        <v>414.78</v>
      </c>
    </row>
    <row r="80" spans="1:11" s="59" customFormat="1" ht="51">
      <c r="A80" s="172" t="s">
        <v>122</v>
      </c>
      <c r="B80" s="176" t="s">
        <v>334</v>
      </c>
      <c r="C80" s="173" t="s">
        <v>408</v>
      </c>
      <c r="D80" s="177" t="s">
        <v>93</v>
      </c>
      <c r="E80" s="174">
        <v>1</v>
      </c>
      <c r="F80" s="178">
        <v>637.94</v>
      </c>
      <c r="G80" s="174">
        <v>781.29</v>
      </c>
      <c r="H80" s="175">
        <f t="shared" si="9"/>
        <v>781.29</v>
      </c>
      <c r="K80" s="139">
        <f t="shared" si="6"/>
        <v>781.29</v>
      </c>
    </row>
    <row r="81" spans="1:11" s="59" customFormat="1" ht="20.25">
      <c r="A81" s="172" t="s">
        <v>450</v>
      </c>
      <c r="B81" s="176" t="s">
        <v>323</v>
      </c>
      <c r="C81" s="173" t="s">
        <v>325</v>
      </c>
      <c r="D81" s="177" t="s">
        <v>93</v>
      </c>
      <c r="E81" s="174">
        <f>'MEMÓRIA DE CÁLCULO'!F837</f>
        <v>4</v>
      </c>
      <c r="F81" s="178">
        <v>62.72</v>
      </c>
      <c r="G81" s="174">
        <v>76.81</v>
      </c>
      <c r="H81" s="175">
        <f t="shared" si="9"/>
        <v>307.24</v>
      </c>
      <c r="K81" s="139">
        <f t="shared" si="6"/>
        <v>76.81</v>
      </c>
    </row>
    <row r="82" spans="1:11" s="59" customFormat="1" ht="20.25">
      <c r="A82" s="172" t="s">
        <v>451</v>
      </c>
      <c r="B82" s="176" t="s">
        <v>324</v>
      </c>
      <c r="C82" s="173" t="s">
        <v>326</v>
      </c>
      <c r="D82" s="177" t="s">
        <v>93</v>
      </c>
      <c r="E82" s="174">
        <v>2</v>
      </c>
      <c r="F82" s="178">
        <v>46.47</v>
      </c>
      <c r="G82" s="174">
        <v>56.91</v>
      </c>
      <c r="H82" s="175">
        <f t="shared" si="9"/>
        <v>113.82</v>
      </c>
      <c r="K82" s="139">
        <f t="shared" si="6"/>
        <v>56.91</v>
      </c>
    </row>
    <row r="83" spans="1:11" s="59" customFormat="1" ht="30">
      <c r="A83" s="172" t="s">
        <v>504</v>
      </c>
      <c r="B83" s="176" t="s">
        <v>411</v>
      </c>
      <c r="C83" s="173" t="s">
        <v>412</v>
      </c>
      <c r="D83" s="177" t="s">
        <v>93</v>
      </c>
      <c r="E83" s="174">
        <v>1</v>
      </c>
      <c r="F83" s="178">
        <v>108.92</v>
      </c>
      <c r="G83" s="174">
        <v>133.39</v>
      </c>
      <c r="H83" s="175">
        <f t="shared" si="9"/>
        <v>133.39</v>
      </c>
      <c r="K83" s="139">
        <f t="shared" si="6"/>
        <v>133.39</v>
      </c>
    </row>
    <row r="84" spans="1:11" s="59" customFormat="1" ht="26.25" customHeight="1">
      <c r="A84" s="172" t="s">
        <v>505</v>
      </c>
      <c r="B84" s="176" t="s">
        <v>118</v>
      </c>
      <c r="C84" s="173" t="s">
        <v>119</v>
      </c>
      <c r="D84" s="177" t="s">
        <v>93</v>
      </c>
      <c r="E84" s="174">
        <f>'MEMÓRIA DE CÁLCULO'!F864</f>
        <v>3</v>
      </c>
      <c r="F84" s="178">
        <v>350.63</v>
      </c>
      <c r="G84" s="174">
        <v>429.42</v>
      </c>
      <c r="H84" s="175">
        <f t="shared" si="9"/>
        <v>1288.26</v>
      </c>
      <c r="K84" s="139">
        <f t="shared" si="6"/>
        <v>429.42</v>
      </c>
    </row>
    <row r="85" spans="1:11" s="59" customFormat="1" ht="22.5" customHeight="1">
      <c r="A85" s="172" t="s">
        <v>506</v>
      </c>
      <c r="B85" s="176" t="s">
        <v>120</v>
      </c>
      <c r="C85" s="173" t="s">
        <v>44</v>
      </c>
      <c r="D85" s="177" t="s">
        <v>93</v>
      </c>
      <c r="E85" s="174">
        <v>1</v>
      </c>
      <c r="F85" s="178">
        <v>348.76</v>
      </c>
      <c r="G85" s="174">
        <v>427.13</v>
      </c>
      <c r="H85" s="175">
        <f t="shared" si="9"/>
        <v>427.13</v>
      </c>
      <c r="K85" s="139">
        <f t="shared" si="6"/>
        <v>427.13</v>
      </c>
    </row>
    <row r="86" spans="1:11" s="59" customFormat="1" ht="22.5" customHeight="1">
      <c r="A86" s="172" t="s">
        <v>507</v>
      </c>
      <c r="B86" s="176" t="s">
        <v>335</v>
      </c>
      <c r="C86" s="173" t="s">
        <v>336</v>
      </c>
      <c r="D86" s="177" t="s">
        <v>93</v>
      </c>
      <c r="E86" s="174">
        <f>'MEMÓRIA DE CÁLCULO'!F870</f>
        <v>2</v>
      </c>
      <c r="F86" s="178">
        <v>87.97</v>
      </c>
      <c r="G86" s="174">
        <v>107.74</v>
      </c>
      <c r="H86" s="175">
        <f t="shared" si="9"/>
        <v>215.48</v>
      </c>
      <c r="K86" s="139">
        <f t="shared" si="6"/>
        <v>107.74</v>
      </c>
    </row>
    <row r="87" spans="1:11" s="59" customFormat="1" ht="29.25" customHeight="1">
      <c r="A87" s="172" t="s">
        <v>508</v>
      </c>
      <c r="B87" s="176" t="s">
        <v>283</v>
      </c>
      <c r="C87" s="173" t="s">
        <v>284</v>
      </c>
      <c r="D87" s="177" t="s">
        <v>94</v>
      </c>
      <c r="E87" s="174">
        <f>'MEMÓRIA DE CÁLCULO'!F877</f>
        <v>1.44</v>
      </c>
      <c r="F87" s="178">
        <v>354.52</v>
      </c>
      <c r="G87" s="174">
        <v>434.18</v>
      </c>
      <c r="H87" s="175">
        <f>E87*G87</f>
        <v>625.22</v>
      </c>
      <c r="K87" s="139">
        <f>F87*1.2247</f>
        <v>434.18</v>
      </c>
    </row>
    <row r="88" spans="1:11" s="135" customFormat="1" ht="16.5" customHeight="1">
      <c r="A88" s="179">
        <v>12</v>
      </c>
      <c r="B88" s="180"/>
      <c r="C88" s="181" t="s">
        <v>121</v>
      </c>
      <c r="D88" s="182"/>
      <c r="E88" s="183"/>
      <c r="F88" s="183"/>
      <c r="G88" s="184" t="s">
        <v>92</v>
      </c>
      <c r="H88" s="185">
        <f>SUM(H89:H91)</f>
        <v>7981.62</v>
      </c>
      <c r="K88" s="139">
        <f t="shared" si="6"/>
        <v>0</v>
      </c>
    </row>
    <row r="89" spans="1:11" s="59" customFormat="1" ht="51">
      <c r="A89" s="172" t="s">
        <v>72</v>
      </c>
      <c r="B89" s="249">
        <v>104473</v>
      </c>
      <c r="C89" s="250" t="s">
        <v>409</v>
      </c>
      <c r="D89" s="177" t="s">
        <v>93</v>
      </c>
      <c r="E89" s="247">
        <f>'MEMÓRIA DE CÁLCULO'!F885</f>
        <v>10</v>
      </c>
      <c r="F89" s="248">
        <v>159.78</v>
      </c>
      <c r="G89" s="247">
        <v>195.68</v>
      </c>
      <c r="H89" s="175">
        <f>E89*G89</f>
        <v>1956.8</v>
      </c>
      <c r="K89" s="139">
        <f t="shared" si="6"/>
        <v>195.68</v>
      </c>
    </row>
    <row r="90" spans="1:11" s="59" customFormat="1" ht="51">
      <c r="A90" s="172" t="s">
        <v>73</v>
      </c>
      <c r="B90" s="176" t="s">
        <v>356</v>
      </c>
      <c r="C90" s="173" t="s">
        <v>410</v>
      </c>
      <c r="D90" s="177" t="s">
        <v>93</v>
      </c>
      <c r="E90" s="174">
        <f>'MEMÓRIA DE CÁLCULO'!F896</f>
        <v>30</v>
      </c>
      <c r="F90" s="178">
        <v>135.35</v>
      </c>
      <c r="G90" s="247">
        <v>165.76</v>
      </c>
      <c r="H90" s="175">
        <f>E90*G90</f>
        <v>4972.8</v>
      </c>
      <c r="K90" s="139">
        <f>F90*1.2247</f>
        <v>165.76</v>
      </c>
    </row>
    <row r="91" spans="1:11" s="59" customFormat="1" ht="30">
      <c r="A91" s="172" t="s">
        <v>74</v>
      </c>
      <c r="B91" s="443" t="s">
        <v>355</v>
      </c>
      <c r="C91" s="444" t="s">
        <v>369</v>
      </c>
      <c r="D91" s="441" t="s">
        <v>93</v>
      </c>
      <c r="E91" s="305">
        <f>'MEMÓRIA DE CÁLCULO'!F914</f>
        <v>23</v>
      </c>
      <c r="F91" s="445">
        <v>37.35</v>
      </c>
      <c r="G91" s="325">
        <v>45.74</v>
      </c>
      <c r="H91" s="306">
        <f>E91*G91</f>
        <v>1052.02</v>
      </c>
      <c r="K91" s="139">
        <f>F91*1.2247</f>
        <v>45.74</v>
      </c>
    </row>
    <row r="92" spans="1:11" s="59" customFormat="1" ht="12.75">
      <c r="A92" s="179">
        <v>13</v>
      </c>
      <c r="B92" s="180"/>
      <c r="C92" s="181" t="s">
        <v>473</v>
      </c>
      <c r="D92" s="182"/>
      <c r="E92" s="183"/>
      <c r="F92" s="183"/>
      <c r="G92" s="184" t="s">
        <v>92</v>
      </c>
      <c r="H92" s="185">
        <f>SUM(H93:H102)</f>
        <v>19903.27</v>
      </c>
      <c r="K92" s="139">
        <f aca="true" t="shared" si="10" ref="K92:K102">F92*1.2247</f>
        <v>0</v>
      </c>
    </row>
    <row r="93" spans="1:11" s="59" customFormat="1" ht="40.5">
      <c r="A93" s="172" t="s">
        <v>379</v>
      </c>
      <c r="B93" s="249" t="s">
        <v>465</v>
      </c>
      <c r="C93" s="250" t="s">
        <v>466</v>
      </c>
      <c r="D93" s="251" t="s">
        <v>95</v>
      </c>
      <c r="E93" s="247">
        <f>'MEMÓRIA DE CÁLCULO'!F940</f>
        <v>3</v>
      </c>
      <c r="F93" s="248">
        <v>285.77</v>
      </c>
      <c r="G93" s="247">
        <v>349.98</v>
      </c>
      <c r="H93" s="175">
        <f>G93*E93</f>
        <v>1049.94</v>
      </c>
      <c r="K93" s="139">
        <f t="shared" si="10"/>
        <v>349.98</v>
      </c>
    </row>
    <row r="94" spans="1:11" s="59" customFormat="1" ht="36.75" customHeight="1">
      <c r="A94" s="172" t="s">
        <v>380</v>
      </c>
      <c r="B94" s="249" t="s">
        <v>454</v>
      </c>
      <c r="C94" s="394" t="s">
        <v>455</v>
      </c>
      <c r="D94" s="177" t="s">
        <v>93</v>
      </c>
      <c r="E94" s="247">
        <v>1</v>
      </c>
      <c r="F94" s="248">
        <v>423.04</v>
      </c>
      <c r="G94" s="247">
        <v>518.1</v>
      </c>
      <c r="H94" s="175">
        <f aca="true" t="shared" si="11" ref="H94:H102">E94*G94</f>
        <v>518.1</v>
      </c>
      <c r="K94" s="139">
        <f t="shared" si="10"/>
        <v>518.1</v>
      </c>
    </row>
    <row r="95" spans="1:11" s="59" customFormat="1" ht="45" customHeight="1">
      <c r="A95" s="172" t="s">
        <v>381</v>
      </c>
      <c r="B95" s="249" t="s">
        <v>524</v>
      </c>
      <c r="C95" s="394" t="s">
        <v>523</v>
      </c>
      <c r="D95" s="177" t="s">
        <v>25</v>
      </c>
      <c r="E95" s="247">
        <f>'MEMÓRIA DE CÁLCULO'!F946</f>
        <v>7.8</v>
      </c>
      <c r="F95" s="248">
        <v>221.93</v>
      </c>
      <c r="G95" s="247">
        <v>271.8</v>
      </c>
      <c r="H95" s="175">
        <f t="shared" si="11"/>
        <v>2120.04</v>
      </c>
      <c r="K95" s="139">
        <f t="shared" si="10"/>
        <v>271.8</v>
      </c>
    </row>
    <row r="96" spans="1:11" s="59" customFormat="1" ht="59.25" customHeight="1">
      <c r="A96" s="172" t="s">
        <v>509</v>
      </c>
      <c r="B96" s="249" t="s">
        <v>526</v>
      </c>
      <c r="C96" s="394" t="s">
        <v>525</v>
      </c>
      <c r="D96" s="177" t="s">
        <v>25</v>
      </c>
      <c r="E96" s="247">
        <f>'MEMÓRIA DE CÁLCULO'!F953</f>
        <v>9.9</v>
      </c>
      <c r="F96" s="248">
        <v>797.84</v>
      </c>
      <c r="G96" s="247">
        <v>977.11</v>
      </c>
      <c r="H96" s="175">
        <f t="shared" si="11"/>
        <v>9673.39</v>
      </c>
      <c r="K96" s="139">
        <f t="shared" si="10"/>
        <v>977.11</v>
      </c>
    </row>
    <row r="97" spans="1:11" s="59" customFormat="1" ht="34.5" customHeight="1">
      <c r="A97" s="172" t="s">
        <v>510</v>
      </c>
      <c r="B97" s="249" t="s">
        <v>472</v>
      </c>
      <c r="C97" s="428" t="s">
        <v>461</v>
      </c>
      <c r="D97" s="177" t="s">
        <v>94</v>
      </c>
      <c r="E97" s="247">
        <f>'MEMÓRIA DE CÁLCULO'!F961</f>
        <v>4.45</v>
      </c>
      <c r="F97" s="248">
        <v>65.04</v>
      </c>
      <c r="G97" s="247">
        <v>79.65</v>
      </c>
      <c r="H97" s="175">
        <f t="shared" si="11"/>
        <v>354.44</v>
      </c>
      <c r="K97" s="139">
        <f t="shared" si="10"/>
        <v>79.65</v>
      </c>
    </row>
    <row r="98" spans="1:256" s="59" customFormat="1" ht="40.5">
      <c r="A98" s="172" t="s">
        <v>511</v>
      </c>
      <c r="B98" s="296" t="s">
        <v>384</v>
      </c>
      <c r="C98" s="250" t="s">
        <v>403</v>
      </c>
      <c r="D98" s="330" t="s">
        <v>94</v>
      </c>
      <c r="E98" s="174">
        <f>'MEMÓRIA DE CÁLCULO'!F970</f>
        <v>47.59</v>
      </c>
      <c r="F98" s="174">
        <v>54.35</v>
      </c>
      <c r="G98" s="174">
        <v>66.56</v>
      </c>
      <c r="H98" s="306">
        <f t="shared" si="11"/>
        <v>3167.59</v>
      </c>
      <c r="I98" s="414"/>
      <c r="J98" s="302"/>
      <c r="K98" s="139">
        <f t="shared" si="10"/>
        <v>66.56</v>
      </c>
      <c r="L98" s="303"/>
      <c r="M98" s="304"/>
      <c r="N98" s="304" t="s">
        <v>527</v>
      </c>
      <c r="O98" s="304"/>
      <c r="P98" s="304"/>
      <c r="Q98" s="414"/>
      <c r="R98" s="302"/>
      <c r="S98" s="415"/>
      <c r="T98" s="303"/>
      <c r="U98" s="304"/>
      <c r="V98" s="304"/>
      <c r="W98" s="304"/>
      <c r="X98" s="304"/>
      <c r="Y98" s="414"/>
      <c r="Z98" s="302"/>
      <c r="AA98" s="415"/>
      <c r="AB98" s="303"/>
      <c r="AC98" s="304"/>
      <c r="AD98" s="304"/>
      <c r="AE98" s="304"/>
      <c r="AF98" s="304"/>
      <c r="AG98" s="414"/>
      <c r="AH98" s="302"/>
      <c r="AI98" s="415"/>
      <c r="AJ98" s="303"/>
      <c r="AK98" s="304"/>
      <c r="AL98" s="304"/>
      <c r="AM98" s="304"/>
      <c r="AN98" s="304"/>
      <c r="AO98" s="414"/>
      <c r="AP98" s="302"/>
      <c r="AQ98" s="415"/>
      <c r="AR98" s="303"/>
      <c r="AS98" s="304"/>
      <c r="AT98" s="304"/>
      <c r="AU98" s="304"/>
      <c r="AV98" s="304"/>
      <c r="AW98" s="414"/>
      <c r="AX98" s="302"/>
      <c r="AY98" s="415"/>
      <c r="AZ98" s="303"/>
      <c r="BA98" s="304"/>
      <c r="BB98" s="304"/>
      <c r="BC98" s="304"/>
      <c r="BD98" s="304"/>
      <c r="BE98" s="414"/>
      <c r="BF98" s="302"/>
      <c r="BG98" s="415"/>
      <c r="BH98" s="303"/>
      <c r="BI98" s="304"/>
      <c r="BJ98" s="304"/>
      <c r="BK98" s="304"/>
      <c r="BL98" s="304"/>
      <c r="BM98" s="414"/>
      <c r="BN98" s="302"/>
      <c r="BO98" s="415"/>
      <c r="BP98" s="303"/>
      <c r="BQ98" s="304"/>
      <c r="BR98" s="304"/>
      <c r="BS98" s="304"/>
      <c r="BT98" s="304"/>
      <c r="BU98" s="414"/>
      <c r="BV98" s="302"/>
      <c r="BW98" s="415"/>
      <c r="BX98" s="303"/>
      <c r="BY98" s="304"/>
      <c r="BZ98" s="304"/>
      <c r="CA98" s="304"/>
      <c r="CB98" s="304"/>
      <c r="CC98" s="414"/>
      <c r="CD98" s="302"/>
      <c r="CE98" s="415"/>
      <c r="CF98" s="303"/>
      <c r="CG98" s="304"/>
      <c r="CH98" s="304"/>
      <c r="CI98" s="304"/>
      <c r="CJ98" s="304"/>
      <c r="CK98" s="414"/>
      <c r="CL98" s="302"/>
      <c r="CM98" s="415"/>
      <c r="CN98" s="303"/>
      <c r="CO98" s="304"/>
      <c r="CP98" s="304"/>
      <c r="CQ98" s="304"/>
      <c r="CR98" s="304"/>
      <c r="CS98" s="414"/>
      <c r="CT98" s="302"/>
      <c r="CU98" s="415"/>
      <c r="CV98" s="303"/>
      <c r="CW98" s="304"/>
      <c r="CX98" s="304"/>
      <c r="CY98" s="304"/>
      <c r="CZ98" s="304"/>
      <c r="DA98" s="414"/>
      <c r="DB98" s="302"/>
      <c r="DC98" s="415"/>
      <c r="DD98" s="303"/>
      <c r="DE98" s="304"/>
      <c r="DF98" s="304"/>
      <c r="DG98" s="304"/>
      <c r="DH98" s="304"/>
      <c r="DI98" s="414"/>
      <c r="DJ98" s="302"/>
      <c r="DK98" s="415"/>
      <c r="DL98" s="303"/>
      <c r="DM98" s="304"/>
      <c r="DN98" s="304"/>
      <c r="DO98" s="304"/>
      <c r="DP98" s="304"/>
      <c r="DQ98" s="414"/>
      <c r="DR98" s="302"/>
      <c r="DS98" s="415"/>
      <c r="DT98" s="303"/>
      <c r="DU98" s="304"/>
      <c r="DV98" s="304"/>
      <c r="DW98" s="304"/>
      <c r="DX98" s="304"/>
      <c r="DY98" s="414"/>
      <c r="DZ98" s="302"/>
      <c r="EA98" s="415"/>
      <c r="EB98" s="303"/>
      <c r="EC98" s="304"/>
      <c r="ED98" s="304"/>
      <c r="EE98" s="304"/>
      <c r="EF98" s="304"/>
      <c r="EG98" s="414"/>
      <c r="EH98" s="302"/>
      <c r="EI98" s="415"/>
      <c r="EJ98" s="303"/>
      <c r="EK98" s="304"/>
      <c r="EL98" s="304"/>
      <c r="EM98" s="304"/>
      <c r="EN98" s="304"/>
      <c r="EO98" s="414"/>
      <c r="EP98" s="302"/>
      <c r="EQ98" s="415"/>
      <c r="ER98" s="303"/>
      <c r="ES98" s="304"/>
      <c r="ET98" s="304"/>
      <c r="EU98" s="304"/>
      <c r="EV98" s="304"/>
      <c r="EW98" s="414"/>
      <c r="EX98" s="302"/>
      <c r="EY98" s="415"/>
      <c r="EZ98" s="303"/>
      <c r="FA98" s="304"/>
      <c r="FB98" s="304"/>
      <c r="FC98" s="304"/>
      <c r="FD98" s="304"/>
      <c r="FE98" s="414"/>
      <c r="FF98" s="302"/>
      <c r="FG98" s="415"/>
      <c r="FH98" s="303"/>
      <c r="FI98" s="304"/>
      <c r="FJ98" s="304"/>
      <c r="FK98" s="304"/>
      <c r="FL98" s="304"/>
      <c r="FM98" s="414"/>
      <c r="FN98" s="302"/>
      <c r="FO98" s="415"/>
      <c r="FP98" s="303"/>
      <c r="FQ98" s="304"/>
      <c r="FR98" s="304"/>
      <c r="FS98" s="304"/>
      <c r="FT98" s="304"/>
      <c r="FU98" s="414"/>
      <c r="FV98" s="302"/>
      <c r="FW98" s="415"/>
      <c r="FX98" s="303"/>
      <c r="FY98" s="304"/>
      <c r="FZ98" s="304"/>
      <c r="GA98" s="304"/>
      <c r="GB98" s="304"/>
      <c r="GC98" s="414"/>
      <c r="GD98" s="302"/>
      <c r="GE98" s="415"/>
      <c r="GF98" s="303"/>
      <c r="GG98" s="304"/>
      <c r="GH98" s="304"/>
      <c r="GI98" s="304"/>
      <c r="GJ98" s="304"/>
      <c r="GK98" s="414"/>
      <c r="GL98" s="302"/>
      <c r="GM98" s="415"/>
      <c r="GN98" s="303"/>
      <c r="GO98" s="304"/>
      <c r="GP98" s="304"/>
      <c r="GQ98" s="304"/>
      <c r="GR98" s="304"/>
      <c r="GS98" s="414"/>
      <c r="GT98" s="302"/>
      <c r="GU98" s="415"/>
      <c r="GV98" s="303"/>
      <c r="GW98" s="304"/>
      <c r="GX98" s="304"/>
      <c r="GY98" s="304"/>
      <c r="GZ98" s="304"/>
      <c r="HA98" s="414"/>
      <c r="HB98" s="302"/>
      <c r="HC98" s="415"/>
      <c r="HD98" s="303"/>
      <c r="HE98" s="304"/>
      <c r="HF98" s="304"/>
      <c r="HG98" s="304"/>
      <c r="HH98" s="304"/>
      <c r="HI98" s="414"/>
      <c r="HJ98" s="302"/>
      <c r="HK98" s="415"/>
      <c r="HL98" s="303"/>
      <c r="HM98" s="304"/>
      <c r="HN98" s="304"/>
      <c r="HO98" s="304"/>
      <c r="HP98" s="304"/>
      <c r="HQ98" s="414"/>
      <c r="HR98" s="302"/>
      <c r="HS98" s="415"/>
      <c r="HT98" s="303"/>
      <c r="HU98" s="304"/>
      <c r="HV98" s="304"/>
      <c r="HW98" s="304"/>
      <c r="HX98" s="304"/>
      <c r="HY98" s="414"/>
      <c r="HZ98" s="302"/>
      <c r="IA98" s="415"/>
      <c r="IB98" s="303"/>
      <c r="IC98" s="304"/>
      <c r="ID98" s="304"/>
      <c r="IE98" s="304"/>
      <c r="IF98" s="304"/>
      <c r="IG98" s="414"/>
      <c r="IH98" s="302"/>
      <c r="II98" s="415"/>
      <c r="IJ98" s="303"/>
      <c r="IK98" s="304"/>
      <c r="IL98" s="304"/>
      <c r="IM98" s="304"/>
      <c r="IN98" s="304"/>
      <c r="IO98" s="414"/>
      <c r="IP98" s="302"/>
      <c r="IQ98" s="415"/>
      <c r="IR98" s="303"/>
      <c r="IS98" s="304"/>
      <c r="IT98" s="304"/>
      <c r="IU98" s="304"/>
      <c r="IV98" s="304"/>
    </row>
    <row r="99" spans="1:11" s="59" customFormat="1" ht="20.25">
      <c r="A99" s="172" t="s">
        <v>512</v>
      </c>
      <c r="B99" s="249" t="s">
        <v>385</v>
      </c>
      <c r="C99" s="394" t="s">
        <v>456</v>
      </c>
      <c r="D99" s="177" t="s">
        <v>94</v>
      </c>
      <c r="E99" s="247">
        <f>'MEMÓRIA DE CÁLCULO'!F979</f>
        <v>47.59</v>
      </c>
      <c r="F99" s="248">
        <v>36.03</v>
      </c>
      <c r="G99" s="247">
        <v>44.13</v>
      </c>
      <c r="H99" s="175">
        <f>E99*G99</f>
        <v>2100.15</v>
      </c>
      <c r="K99" s="139">
        <f>F99*1.2247</f>
        <v>44.13</v>
      </c>
    </row>
    <row r="100" spans="1:256" s="59" customFormat="1" ht="12.75">
      <c r="A100" s="172" t="s">
        <v>513</v>
      </c>
      <c r="B100" s="296" t="s">
        <v>373</v>
      </c>
      <c r="C100" s="285" t="s">
        <v>374</v>
      </c>
      <c r="D100" s="339" t="s">
        <v>95</v>
      </c>
      <c r="E100" s="483">
        <f>'MEMÓRIA DE CÁLCULO'!F986</f>
        <v>6.08</v>
      </c>
      <c r="F100" s="174">
        <v>67.39</v>
      </c>
      <c r="G100" s="174">
        <v>82.53</v>
      </c>
      <c r="H100" s="175">
        <f t="shared" si="11"/>
        <v>501.78</v>
      </c>
      <c r="I100" s="414"/>
      <c r="J100" s="302"/>
      <c r="K100" s="139">
        <f t="shared" si="10"/>
        <v>82.53</v>
      </c>
      <c r="L100" s="303"/>
      <c r="M100" s="304"/>
      <c r="N100" s="304"/>
      <c r="O100" s="304"/>
      <c r="P100" s="304"/>
      <c r="Q100" s="414"/>
      <c r="R100" s="302"/>
      <c r="S100" s="415"/>
      <c r="T100" s="303"/>
      <c r="U100" s="304"/>
      <c r="V100" s="304"/>
      <c r="W100" s="304"/>
      <c r="X100" s="304"/>
      <c r="Y100" s="414"/>
      <c r="Z100" s="302"/>
      <c r="AA100" s="415"/>
      <c r="AB100" s="303"/>
      <c r="AC100" s="304"/>
      <c r="AD100" s="304"/>
      <c r="AE100" s="304"/>
      <c r="AF100" s="304"/>
      <c r="AG100" s="414"/>
      <c r="AH100" s="302"/>
      <c r="AI100" s="415"/>
      <c r="AJ100" s="303"/>
      <c r="AK100" s="304"/>
      <c r="AL100" s="304"/>
      <c r="AM100" s="304"/>
      <c r="AN100" s="304"/>
      <c r="AO100" s="414"/>
      <c r="AP100" s="302"/>
      <c r="AQ100" s="415"/>
      <c r="AR100" s="303"/>
      <c r="AS100" s="304"/>
      <c r="AT100" s="304"/>
      <c r="AU100" s="304"/>
      <c r="AV100" s="304"/>
      <c r="AW100" s="414"/>
      <c r="AX100" s="302"/>
      <c r="AY100" s="415"/>
      <c r="AZ100" s="303"/>
      <c r="BA100" s="304"/>
      <c r="BB100" s="304"/>
      <c r="BC100" s="304"/>
      <c r="BD100" s="304"/>
      <c r="BE100" s="414"/>
      <c r="BF100" s="302"/>
      <c r="BG100" s="415"/>
      <c r="BH100" s="303"/>
      <c r="BI100" s="304"/>
      <c r="BJ100" s="304"/>
      <c r="BK100" s="304"/>
      <c r="BL100" s="304"/>
      <c r="BM100" s="414"/>
      <c r="BN100" s="302"/>
      <c r="BO100" s="415"/>
      <c r="BP100" s="303"/>
      <c r="BQ100" s="304"/>
      <c r="BR100" s="304"/>
      <c r="BS100" s="304"/>
      <c r="BT100" s="304"/>
      <c r="BU100" s="414"/>
      <c r="BV100" s="302"/>
      <c r="BW100" s="415"/>
      <c r="BX100" s="303"/>
      <c r="BY100" s="304"/>
      <c r="BZ100" s="304"/>
      <c r="CA100" s="304"/>
      <c r="CB100" s="304"/>
      <c r="CC100" s="414"/>
      <c r="CD100" s="302"/>
      <c r="CE100" s="415"/>
      <c r="CF100" s="303"/>
      <c r="CG100" s="304"/>
      <c r="CH100" s="304"/>
      <c r="CI100" s="304"/>
      <c r="CJ100" s="304"/>
      <c r="CK100" s="414"/>
      <c r="CL100" s="302"/>
      <c r="CM100" s="415"/>
      <c r="CN100" s="303"/>
      <c r="CO100" s="304"/>
      <c r="CP100" s="304"/>
      <c r="CQ100" s="304"/>
      <c r="CR100" s="304"/>
      <c r="CS100" s="414"/>
      <c r="CT100" s="302"/>
      <c r="CU100" s="415"/>
      <c r="CV100" s="303"/>
      <c r="CW100" s="304"/>
      <c r="CX100" s="304"/>
      <c r="CY100" s="304"/>
      <c r="CZ100" s="304"/>
      <c r="DA100" s="414"/>
      <c r="DB100" s="302"/>
      <c r="DC100" s="415"/>
      <c r="DD100" s="303"/>
      <c r="DE100" s="304"/>
      <c r="DF100" s="304"/>
      <c r="DG100" s="304"/>
      <c r="DH100" s="304"/>
      <c r="DI100" s="414"/>
      <c r="DJ100" s="302"/>
      <c r="DK100" s="415"/>
      <c r="DL100" s="303"/>
      <c r="DM100" s="304"/>
      <c r="DN100" s="304"/>
      <c r="DO100" s="304"/>
      <c r="DP100" s="304"/>
      <c r="DQ100" s="414"/>
      <c r="DR100" s="302"/>
      <c r="DS100" s="415"/>
      <c r="DT100" s="303"/>
      <c r="DU100" s="304"/>
      <c r="DV100" s="304"/>
      <c r="DW100" s="304"/>
      <c r="DX100" s="304"/>
      <c r="DY100" s="414"/>
      <c r="DZ100" s="302"/>
      <c r="EA100" s="415"/>
      <c r="EB100" s="303"/>
      <c r="EC100" s="304"/>
      <c r="ED100" s="304"/>
      <c r="EE100" s="304"/>
      <c r="EF100" s="304"/>
      <c r="EG100" s="414"/>
      <c r="EH100" s="302"/>
      <c r="EI100" s="415"/>
      <c r="EJ100" s="303"/>
      <c r="EK100" s="304"/>
      <c r="EL100" s="304"/>
      <c r="EM100" s="304"/>
      <c r="EN100" s="304"/>
      <c r="EO100" s="414"/>
      <c r="EP100" s="302"/>
      <c r="EQ100" s="415"/>
      <c r="ER100" s="303"/>
      <c r="ES100" s="304"/>
      <c r="ET100" s="304"/>
      <c r="EU100" s="304"/>
      <c r="EV100" s="304"/>
      <c r="EW100" s="414"/>
      <c r="EX100" s="302"/>
      <c r="EY100" s="415"/>
      <c r="EZ100" s="303"/>
      <c r="FA100" s="304"/>
      <c r="FB100" s="304"/>
      <c r="FC100" s="304"/>
      <c r="FD100" s="304"/>
      <c r="FE100" s="414"/>
      <c r="FF100" s="302"/>
      <c r="FG100" s="415"/>
      <c r="FH100" s="303"/>
      <c r="FI100" s="304"/>
      <c r="FJ100" s="304"/>
      <c r="FK100" s="304"/>
      <c r="FL100" s="304"/>
      <c r="FM100" s="414"/>
      <c r="FN100" s="302"/>
      <c r="FO100" s="415"/>
      <c r="FP100" s="303"/>
      <c r="FQ100" s="304"/>
      <c r="FR100" s="304"/>
      <c r="FS100" s="304"/>
      <c r="FT100" s="304"/>
      <c r="FU100" s="414"/>
      <c r="FV100" s="302"/>
      <c r="FW100" s="415"/>
      <c r="FX100" s="303"/>
      <c r="FY100" s="304"/>
      <c r="FZ100" s="304"/>
      <c r="GA100" s="304"/>
      <c r="GB100" s="304"/>
      <c r="GC100" s="414"/>
      <c r="GD100" s="302"/>
      <c r="GE100" s="415"/>
      <c r="GF100" s="303"/>
      <c r="GG100" s="304"/>
      <c r="GH100" s="304"/>
      <c r="GI100" s="304"/>
      <c r="GJ100" s="304"/>
      <c r="GK100" s="414"/>
      <c r="GL100" s="302"/>
      <c r="GM100" s="415"/>
      <c r="GN100" s="303"/>
      <c r="GO100" s="304"/>
      <c r="GP100" s="304"/>
      <c r="GQ100" s="304"/>
      <c r="GR100" s="304"/>
      <c r="GS100" s="414"/>
      <c r="GT100" s="302"/>
      <c r="GU100" s="415"/>
      <c r="GV100" s="303"/>
      <c r="GW100" s="304"/>
      <c r="GX100" s="304"/>
      <c r="GY100" s="304"/>
      <c r="GZ100" s="304"/>
      <c r="HA100" s="414"/>
      <c r="HB100" s="302"/>
      <c r="HC100" s="415"/>
      <c r="HD100" s="303"/>
      <c r="HE100" s="304"/>
      <c r="HF100" s="304"/>
      <c r="HG100" s="304"/>
      <c r="HH100" s="304"/>
      <c r="HI100" s="414"/>
      <c r="HJ100" s="302"/>
      <c r="HK100" s="415"/>
      <c r="HL100" s="303"/>
      <c r="HM100" s="304"/>
      <c r="HN100" s="304"/>
      <c r="HO100" s="304"/>
      <c r="HP100" s="304"/>
      <c r="HQ100" s="414"/>
      <c r="HR100" s="302"/>
      <c r="HS100" s="415"/>
      <c r="HT100" s="303"/>
      <c r="HU100" s="304"/>
      <c r="HV100" s="304"/>
      <c r="HW100" s="304"/>
      <c r="HX100" s="304"/>
      <c r="HY100" s="414"/>
      <c r="HZ100" s="302"/>
      <c r="IA100" s="415"/>
      <c r="IB100" s="303"/>
      <c r="IC100" s="304"/>
      <c r="ID100" s="304"/>
      <c r="IE100" s="304"/>
      <c r="IF100" s="304"/>
      <c r="IG100" s="414"/>
      <c r="IH100" s="302"/>
      <c r="II100" s="415"/>
      <c r="IJ100" s="303"/>
      <c r="IK100" s="304"/>
      <c r="IL100" s="304"/>
      <c r="IM100" s="304"/>
      <c r="IN100" s="304"/>
      <c r="IO100" s="414"/>
      <c r="IP100" s="302"/>
      <c r="IQ100" s="415"/>
      <c r="IR100" s="303"/>
      <c r="IS100" s="304"/>
      <c r="IT100" s="304"/>
      <c r="IU100" s="304"/>
      <c r="IV100" s="304"/>
    </row>
    <row r="101" spans="1:256" s="59" customFormat="1" ht="40.5">
      <c r="A101" s="172" t="s">
        <v>514</v>
      </c>
      <c r="B101" s="481" t="s">
        <v>487</v>
      </c>
      <c r="C101" s="484" t="s">
        <v>488</v>
      </c>
      <c r="D101" s="429" t="s">
        <v>94</v>
      </c>
      <c r="E101" s="305">
        <v>1.8</v>
      </c>
      <c r="F101" s="305">
        <v>103.1</v>
      </c>
      <c r="G101" s="305">
        <v>126.27</v>
      </c>
      <c r="H101" s="175">
        <f t="shared" si="11"/>
        <v>227.29</v>
      </c>
      <c r="I101" s="414"/>
      <c r="J101" s="302"/>
      <c r="K101" s="139">
        <f t="shared" si="10"/>
        <v>126.27</v>
      </c>
      <c r="L101" s="303"/>
      <c r="M101" s="304"/>
      <c r="N101" s="304"/>
      <c r="O101" s="304"/>
      <c r="P101" s="304"/>
      <c r="Q101" s="414"/>
      <c r="R101" s="302"/>
      <c r="S101" s="415"/>
      <c r="T101" s="303"/>
      <c r="U101" s="304"/>
      <c r="V101" s="304"/>
      <c r="W101" s="304"/>
      <c r="X101" s="304"/>
      <c r="Y101" s="414"/>
      <c r="Z101" s="302"/>
      <c r="AA101" s="415"/>
      <c r="AB101" s="303"/>
      <c r="AC101" s="304"/>
      <c r="AD101" s="304"/>
      <c r="AE101" s="304"/>
      <c r="AF101" s="304"/>
      <c r="AG101" s="414"/>
      <c r="AH101" s="302"/>
      <c r="AI101" s="415"/>
      <c r="AJ101" s="303"/>
      <c r="AK101" s="304"/>
      <c r="AL101" s="304"/>
      <c r="AM101" s="304"/>
      <c r="AN101" s="304"/>
      <c r="AO101" s="414"/>
      <c r="AP101" s="302"/>
      <c r="AQ101" s="415"/>
      <c r="AR101" s="303"/>
      <c r="AS101" s="304"/>
      <c r="AT101" s="304"/>
      <c r="AU101" s="304"/>
      <c r="AV101" s="304"/>
      <c r="AW101" s="414"/>
      <c r="AX101" s="302"/>
      <c r="AY101" s="415"/>
      <c r="AZ101" s="303"/>
      <c r="BA101" s="304"/>
      <c r="BB101" s="304"/>
      <c r="BC101" s="304"/>
      <c r="BD101" s="304"/>
      <c r="BE101" s="414"/>
      <c r="BF101" s="302"/>
      <c r="BG101" s="415"/>
      <c r="BH101" s="303"/>
      <c r="BI101" s="304"/>
      <c r="BJ101" s="304"/>
      <c r="BK101" s="304"/>
      <c r="BL101" s="304"/>
      <c r="BM101" s="414"/>
      <c r="BN101" s="302"/>
      <c r="BO101" s="415"/>
      <c r="BP101" s="303"/>
      <c r="BQ101" s="304"/>
      <c r="BR101" s="304"/>
      <c r="BS101" s="304"/>
      <c r="BT101" s="304"/>
      <c r="BU101" s="414"/>
      <c r="BV101" s="302"/>
      <c r="BW101" s="415"/>
      <c r="BX101" s="303"/>
      <c r="BY101" s="304"/>
      <c r="BZ101" s="304"/>
      <c r="CA101" s="304"/>
      <c r="CB101" s="304"/>
      <c r="CC101" s="414"/>
      <c r="CD101" s="302"/>
      <c r="CE101" s="415"/>
      <c r="CF101" s="303"/>
      <c r="CG101" s="304"/>
      <c r="CH101" s="304"/>
      <c r="CI101" s="304"/>
      <c r="CJ101" s="304"/>
      <c r="CK101" s="414"/>
      <c r="CL101" s="302"/>
      <c r="CM101" s="415"/>
      <c r="CN101" s="303"/>
      <c r="CO101" s="304"/>
      <c r="CP101" s="304"/>
      <c r="CQ101" s="304"/>
      <c r="CR101" s="304"/>
      <c r="CS101" s="414"/>
      <c r="CT101" s="302"/>
      <c r="CU101" s="415"/>
      <c r="CV101" s="303"/>
      <c r="CW101" s="304"/>
      <c r="CX101" s="304"/>
      <c r="CY101" s="304"/>
      <c r="CZ101" s="304"/>
      <c r="DA101" s="414"/>
      <c r="DB101" s="302"/>
      <c r="DC101" s="415"/>
      <c r="DD101" s="303"/>
      <c r="DE101" s="304"/>
      <c r="DF101" s="304"/>
      <c r="DG101" s="304"/>
      <c r="DH101" s="304"/>
      <c r="DI101" s="414"/>
      <c r="DJ101" s="302"/>
      <c r="DK101" s="415"/>
      <c r="DL101" s="303"/>
      <c r="DM101" s="304"/>
      <c r="DN101" s="304"/>
      <c r="DO101" s="304"/>
      <c r="DP101" s="304"/>
      <c r="DQ101" s="414"/>
      <c r="DR101" s="302"/>
      <c r="DS101" s="415"/>
      <c r="DT101" s="303"/>
      <c r="DU101" s="304"/>
      <c r="DV101" s="304"/>
      <c r="DW101" s="304"/>
      <c r="DX101" s="304"/>
      <c r="DY101" s="414"/>
      <c r="DZ101" s="302"/>
      <c r="EA101" s="415"/>
      <c r="EB101" s="303"/>
      <c r="EC101" s="304"/>
      <c r="ED101" s="304"/>
      <c r="EE101" s="304"/>
      <c r="EF101" s="304"/>
      <c r="EG101" s="414"/>
      <c r="EH101" s="302"/>
      <c r="EI101" s="415"/>
      <c r="EJ101" s="303"/>
      <c r="EK101" s="304"/>
      <c r="EL101" s="304"/>
      <c r="EM101" s="304"/>
      <c r="EN101" s="304"/>
      <c r="EO101" s="414"/>
      <c r="EP101" s="302"/>
      <c r="EQ101" s="415"/>
      <c r="ER101" s="303"/>
      <c r="ES101" s="304"/>
      <c r="ET101" s="304"/>
      <c r="EU101" s="304"/>
      <c r="EV101" s="304"/>
      <c r="EW101" s="414"/>
      <c r="EX101" s="302"/>
      <c r="EY101" s="415"/>
      <c r="EZ101" s="303"/>
      <c r="FA101" s="304"/>
      <c r="FB101" s="304"/>
      <c r="FC101" s="304"/>
      <c r="FD101" s="304"/>
      <c r="FE101" s="414"/>
      <c r="FF101" s="302"/>
      <c r="FG101" s="415"/>
      <c r="FH101" s="303"/>
      <c r="FI101" s="304"/>
      <c r="FJ101" s="304"/>
      <c r="FK101" s="304"/>
      <c r="FL101" s="304"/>
      <c r="FM101" s="414"/>
      <c r="FN101" s="302"/>
      <c r="FO101" s="415"/>
      <c r="FP101" s="303"/>
      <c r="FQ101" s="304"/>
      <c r="FR101" s="304"/>
      <c r="FS101" s="304"/>
      <c r="FT101" s="304"/>
      <c r="FU101" s="414"/>
      <c r="FV101" s="302"/>
      <c r="FW101" s="415"/>
      <c r="FX101" s="303"/>
      <c r="FY101" s="304"/>
      <c r="FZ101" s="304"/>
      <c r="GA101" s="304"/>
      <c r="GB101" s="304"/>
      <c r="GC101" s="414"/>
      <c r="GD101" s="302"/>
      <c r="GE101" s="415"/>
      <c r="GF101" s="303"/>
      <c r="GG101" s="304"/>
      <c r="GH101" s="304"/>
      <c r="GI101" s="304"/>
      <c r="GJ101" s="304"/>
      <c r="GK101" s="414"/>
      <c r="GL101" s="302"/>
      <c r="GM101" s="415"/>
      <c r="GN101" s="303"/>
      <c r="GO101" s="304"/>
      <c r="GP101" s="304"/>
      <c r="GQ101" s="304"/>
      <c r="GR101" s="304"/>
      <c r="GS101" s="414"/>
      <c r="GT101" s="302"/>
      <c r="GU101" s="415"/>
      <c r="GV101" s="303"/>
      <c r="GW101" s="304"/>
      <c r="GX101" s="304"/>
      <c r="GY101" s="304"/>
      <c r="GZ101" s="304"/>
      <c r="HA101" s="414"/>
      <c r="HB101" s="302"/>
      <c r="HC101" s="415"/>
      <c r="HD101" s="303"/>
      <c r="HE101" s="304"/>
      <c r="HF101" s="304"/>
      <c r="HG101" s="304"/>
      <c r="HH101" s="304"/>
      <c r="HI101" s="414"/>
      <c r="HJ101" s="302"/>
      <c r="HK101" s="415"/>
      <c r="HL101" s="303"/>
      <c r="HM101" s="304"/>
      <c r="HN101" s="304"/>
      <c r="HO101" s="304"/>
      <c r="HP101" s="304"/>
      <c r="HQ101" s="414"/>
      <c r="HR101" s="302"/>
      <c r="HS101" s="415"/>
      <c r="HT101" s="303"/>
      <c r="HU101" s="304"/>
      <c r="HV101" s="304"/>
      <c r="HW101" s="304"/>
      <c r="HX101" s="304"/>
      <c r="HY101" s="414"/>
      <c r="HZ101" s="302"/>
      <c r="IA101" s="415"/>
      <c r="IB101" s="303"/>
      <c r="IC101" s="304"/>
      <c r="ID101" s="304"/>
      <c r="IE101" s="304"/>
      <c r="IF101" s="304"/>
      <c r="IG101" s="414"/>
      <c r="IH101" s="302"/>
      <c r="II101" s="415"/>
      <c r="IJ101" s="303"/>
      <c r="IK101" s="304"/>
      <c r="IL101" s="304"/>
      <c r="IM101" s="304"/>
      <c r="IN101" s="304"/>
      <c r="IO101" s="414"/>
      <c r="IP101" s="302"/>
      <c r="IQ101" s="415"/>
      <c r="IR101" s="303"/>
      <c r="IS101" s="304"/>
      <c r="IT101" s="304"/>
      <c r="IU101" s="304"/>
      <c r="IV101" s="304"/>
    </row>
    <row r="102" spans="1:256" s="59" customFormat="1" ht="40.5">
      <c r="A102" s="172" t="s">
        <v>515</v>
      </c>
      <c r="B102" s="296" t="s">
        <v>489</v>
      </c>
      <c r="C102" s="285" t="s">
        <v>490</v>
      </c>
      <c r="D102" s="339" t="s">
        <v>94</v>
      </c>
      <c r="E102" s="174">
        <v>1.5</v>
      </c>
      <c r="F102" s="174">
        <v>103.72</v>
      </c>
      <c r="G102" s="174">
        <v>127.03</v>
      </c>
      <c r="H102" s="175">
        <f t="shared" si="11"/>
        <v>190.55</v>
      </c>
      <c r="I102" s="414"/>
      <c r="J102" s="302"/>
      <c r="K102" s="139">
        <f t="shared" si="10"/>
        <v>127.03</v>
      </c>
      <c r="L102" s="303"/>
      <c r="M102" s="304"/>
      <c r="N102" s="174"/>
      <c r="O102" s="304"/>
      <c r="P102" s="304"/>
      <c r="Q102" s="414"/>
      <c r="R102" s="302"/>
      <c r="S102" s="415"/>
      <c r="T102" s="303"/>
      <c r="U102" s="304"/>
      <c r="V102" s="304"/>
      <c r="W102" s="304"/>
      <c r="X102" s="304"/>
      <c r="Y102" s="414"/>
      <c r="Z102" s="302"/>
      <c r="AA102" s="415"/>
      <c r="AB102" s="303"/>
      <c r="AC102" s="304"/>
      <c r="AD102" s="304"/>
      <c r="AE102" s="304"/>
      <c r="AF102" s="304"/>
      <c r="AG102" s="414"/>
      <c r="AH102" s="302"/>
      <c r="AI102" s="415"/>
      <c r="AJ102" s="303"/>
      <c r="AK102" s="304"/>
      <c r="AL102" s="304"/>
      <c r="AM102" s="304"/>
      <c r="AN102" s="304"/>
      <c r="AO102" s="414"/>
      <c r="AP102" s="302"/>
      <c r="AQ102" s="415"/>
      <c r="AR102" s="303"/>
      <c r="AS102" s="304"/>
      <c r="AT102" s="304"/>
      <c r="AU102" s="304"/>
      <c r="AV102" s="304"/>
      <c r="AW102" s="414"/>
      <c r="AX102" s="302"/>
      <c r="AY102" s="415"/>
      <c r="AZ102" s="303"/>
      <c r="BA102" s="304"/>
      <c r="BB102" s="304"/>
      <c r="BC102" s="304"/>
      <c r="BD102" s="304"/>
      <c r="BE102" s="414"/>
      <c r="BF102" s="302"/>
      <c r="BG102" s="415"/>
      <c r="BH102" s="303"/>
      <c r="BI102" s="304"/>
      <c r="BJ102" s="304"/>
      <c r="BK102" s="304"/>
      <c r="BL102" s="304"/>
      <c r="BM102" s="414"/>
      <c r="BN102" s="302"/>
      <c r="BO102" s="415"/>
      <c r="BP102" s="303"/>
      <c r="BQ102" s="304"/>
      <c r="BR102" s="304"/>
      <c r="BS102" s="304"/>
      <c r="BT102" s="304"/>
      <c r="BU102" s="414"/>
      <c r="BV102" s="302"/>
      <c r="BW102" s="415"/>
      <c r="BX102" s="303"/>
      <c r="BY102" s="304"/>
      <c r="BZ102" s="304"/>
      <c r="CA102" s="304"/>
      <c r="CB102" s="304"/>
      <c r="CC102" s="414"/>
      <c r="CD102" s="302"/>
      <c r="CE102" s="415"/>
      <c r="CF102" s="303"/>
      <c r="CG102" s="304"/>
      <c r="CH102" s="304"/>
      <c r="CI102" s="304"/>
      <c r="CJ102" s="304"/>
      <c r="CK102" s="414"/>
      <c r="CL102" s="302"/>
      <c r="CM102" s="415"/>
      <c r="CN102" s="303"/>
      <c r="CO102" s="304"/>
      <c r="CP102" s="304"/>
      <c r="CQ102" s="304"/>
      <c r="CR102" s="304"/>
      <c r="CS102" s="414"/>
      <c r="CT102" s="302"/>
      <c r="CU102" s="415"/>
      <c r="CV102" s="303"/>
      <c r="CW102" s="304"/>
      <c r="CX102" s="304"/>
      <c r="CY102" s="304"/>
      <c r="CZ102" s="304"/>
      <c r="DA102" s="414"/>
      <c r="DB102" s="302"/>
      <c r="DC102" s="415"/>
      <c r="DD102" s="303"/>
      <c r="DE102" s="304"/>
      <c r="DF102" s="304"/>
      <c r="DG102" s="304"/>
      <c r="DH102" s="304"/>
      <c r="DI102" s="414"/>
      <c r="DJ102" s="302"/>
      <c r="DK102" s="415"/>
      <c r="DL102" s="303"/>
      <c r="DM102" s="304"/>
      <c r="DN102" s="304"/>
      <c r="DO102" s="304"/>
      <c r="DP102" s="304"/>
      <c r="DQ102" s="414"/>
      <c r="DR102" s="302"/>
      <c r="DS102" s="415"/>
      <c r="DT102" s="303"/>
      <c r="DU102" s="304"/>
      <c r="DV102" s="304"/>
      <c r="DW102" s="304"/>
      <c r="DX102" s="304"/>
      <c r="DY102" s="414"/>
      <c r="DZ102" s="302"/>
      <c r="EA102" s="415"/>
      <c r="EB102" s="303"/>
      <c r="EC102" s="304"/>
      <c r="ED102" s="304"/>
      <c r="EE102" s="304"/>
      <c r="EF102" s="304"/>
      <c r="EG102" s="414"/>
      <c r="EH102" s="302"/>
      <c r="EI102" s="415"/>
      <c r="EJ102" s="303"/>
      <c r="EK102" s="304"/>
      <c r="EL102" s="304"/>
      <c r="EM102" s="304"/>
      <c r="EN102" s="304"/>
      <c r="EO102" s="414"/>
      <c r="EP102" s="302"/>
      <c r="EQ102" s="415"/>
      <c r="ER102" s="303"/>
      <c r="ES102" s="304"/>
      <c r="ET102" s="304"/>
      <c r="EU102" s="304"/>
      <c r="EV102" s="304"/>
      <c r="EW102" s="414"/>
      <c r="EX102" s="302"/>
      <c r="EY102" s="415"/>
      <c r="EZ102" s="303"/>
      <c r="FA102" s="304"/>
      <c r="FB102" s="304"/>
      <c r="FC102" s="304"/>
      <c r="FD102" s="304"/>
      <c r="FE102" s="414"/>
      <c r="FF102" s="302"/>
      <c r="FG102" s="415"/>
      <c r="FH102" s="303"/>
      <c r="FI102" s="304"/>
      <c r="FJ102" s="304"/>
      <c r="FK102" s="304"/>
      <c r="FL102" s="304"/>
      <c r="FM102" s="414"/>
      <c r="FN102" s="302"/>
      <c r="FO102" s="415"/>
      <c r="FP102" s="303"/>
      <c r="FQ102" s="304"/>
      <c r="FR102" s="304"/>
      <c r="FS102" s="304"/>
      <c r="FT102" s="304"/>
      <c r="FU102" s="414"/>
      <c r="FV102" s="302"/>
      <c r="FW102" s="415"/>
      <c r="FX102" s="303"/>
      <c r="FY102" s="304"/>
      <c r="FZ102" s="304"/>
      <c r="GA102" s="304"/>
      <c r="GB102" s="304"/>
      <c r="GC102" s="414"/>
      <c r="GD102" s="302"/>
      <c r="GE102" s="415"/>
      <c r="GF102" s="303"/>
      <c r="GG102" s="304"/>
      <c r="GH102" s="304"/>
      <c r="GI102" s="304"/>
      <c r="GJ102" s="304"/>
      <c r="GK102" s="414"/>
      <c r="GL102" s="302"/>
      <c r="GM102" s="415"/>
      <c r="GN102" s="303"/>
      <c r="GO102" s="304"/>
      <c r="GP102" s="304"/>
      <c r="GQ102" s="304"/>
      <c r="GR102" s="304"/>
      <c r="GS102" s="414"/>
      <c r="GT102" s="302"/>
      <c r="GU102" s="415"/>
      <c r="GV102" s="303"/>
      <c r="GW102" s="304"/>
      <c r="GX102" s="304"/>
      <c r="GY102" s="304"/>
      <c r="GZ102" s="304"/>
      <c r="HA102" s="414"/>
      <c r="HB102" s="302"/>
      <c r="HC102" s="415"/>
      <c r="HD102" s="303"/>
      <c r="HE102" s="304"/>
      <c r="HF102" s="304"/>
      <c r="HG102" s="304"/>
      <c r="HH102" s="304"/>
      <c r="HI102" s="414"/>
      <c r="HJ102" s="302"/>
      <c r="HK102" s="415"/>
      <c r="HL102" s="303"/>
      <c r="HM102" s="304"/>
      <c r="HN102" s="304"/>
      <c r="HO102" s="304"/>
      <c r="HP102" s="304"/>
      <c r="HQ102" s="414"/>
      <c r="HR102" s="302"/>
      <c r="HS102" s="415"/>
      <c r="HT102" s="303"/>
      <c r="HU102" s="304"/>
      <c r="HV102" s="304"/>
      <c r="HW102" s="304"/>
      <c r="HX102" s="304"/>
      <c r="HY102" s="414"/>
      <c r="HZ102" s="302"/>
      <c r="IA102" s="415"/>
      <c r="IB102" s="303"/>
      <c r="IC102" s="304"/>
      <c r="ID102" s="304"/>
      <c r="IE102" s="304"/>
      <c r="IF102" s="304"/>
      <c r="IG102" s="414"/>
      <c r="IH102" s="302"/>
      <c r="II102" s="415"/>
      <c r="IJ102" s="303"/>
      <c r="IK102" s="304"/>
      <c r="IL102" s="304"/>
      <c r="IM102" s="304"/>
      <c r="IN102" s="304"/>
      <c r="IO102" s="414"/>
      <c r="IP102" s="302"/>
      <c r="IQ102" s="415"/>
      <c r="IR102" s="303"/>
      <c r="IS102" s="304"/>
      <c r="IT102" s="304"/>
      <c r="IU102" s="304"/>
      <c r="IV102" s="304"/>
    </row>
    <row r="103" spans="1:14" ht="15.75" customHeight="1" thickBot="1">
      <c r="A103" s="613" t="s">
        <v>123</v>
      </c>
      <c r="B103" s="614"/>
      <c r="C103" s="614"/>
      <c r="D103" s="614"/>
      <c r="E103" s="614"/>
      <c r="F103" s="614"/>
      <c r="G103" s="615"/>
      <c r="H103" s="418">
        <f>SUM(H11,H14,H16,H28,H35,H42,H47,H51,H57,H67,H75,H88,H92)</f>
        <v>214889.96</v>
      </c>
      <c r="J103" s="146">
        <v>114842.08</v>
      </c>
      <c r="K103" s="139">
        <f>F103*1.2247</f>
        <v>0</v>
      </c>
      <c r="N103" s="59" t="s">
        <v>419</v>
      </c>
    </row>
    <row r="104" spans="1:11" ht="14.25" customHeight="1" thickBot="1">
      <c r="A104" s="616"/>
      <c r="B104" s="617"/>
      <c r="C104" s="617"/>
      <c r="D104" s="617"/>
      <c r="E104" s="617"/>
      <c r="F104" s="617"/>
      <c r="G104" s="618"/>
      <c r="H104" s="147"/>
      <c r="J104" s="146">
        <f>J103-H103</f>
        <v>-100047.88</v>
      </c>
      <c r="K104" s="95">
        <f>F104*1.2247</f>
        <v>0</v>
      </c>
    </row>
    <row r="105" spans="1:11" ht="11.25" customHeight="1">
      <c r="A105" s="114"/>
      <c r="B105" s="115"/>
      <c r="C105" s="115"/>
      <c r="D105" s="115"/>
      <c r="E105" s="115"/>
      <c r="F105" s="115"/>
      <c r="G105" s="115"/>
      <c r="H105" s="434"/>
      <c r="K105" s="95">
        <f>F105*1.2247</f>
        <v>0</v>
      </c>
    </row>
    <row r="106" spans="1:11" ht="11.25" customHeight="1">
      <c r="A106" s="114"/>
      <c r="B106" s="115"/>
      <c r="C106" s="115"/>
      <c r="D106" s="115"/>
      <c r="E106" s="115"/>
      <c r="F106" s="115"/>
      <c r="G106" s="115"/>
      <c r="H106" s="434"/>
      <c r="K106" s="95"/>
    </row>
    <row r="107" spans="1:11" ht="11.25" customHeight="1">
      <c r="A107" s="114"/>
      <c r="B107" s="115"/>
      <c r="C107" s="115"/>
      <c r="D107" s="115"/>
      <c r="E107" s="115"/>
      <c r="F107" s="115"/>
      <c r="G107" s="115"/>
      <c r="H107" s="434"/>
      <c r="K107" s="95"/>
    </row>
    <row r="108" spans="1:11" ht="11.25" customHeight="1">
      <c r="A108" s="114"/>
      <c r="B108" s="115"/>
      <c r="C108" s="115"/>
      <c r="D108" s="115"/>
      <c r="E108" s="115"/>
      <c r="F108" s="115"/>
      <c r="G108" s="115"/>
      <c r="H108" s="434"/>
      <c r="K108" s="95">
        <f aca="true" t="shared" si="12" ref="K108:K115">F108*1.2247</f>
        <v>0</v>
      </c>
    </row>
    <row r="109" spans="1:11" ht="11.25" customHeight="1">
      <c r="A109" s="114"/>
      <c r="B109" s="574"/>
      <c r="C109" s="574"/>
      <c r="D109" s="115"/>
      <c r="E109" s="574" t="s">
        <v>531</v>
      </c>
      <c r="F109" s="574"/>
      <c r="G109" s="410"/>
      <c r="H109" s="434"/>
      <c r="K109" s="95">
        <f t="shared" si="12"/>
        <v>0</v>
      </c>
    </row>
    <row r="110" spans="1:11" ht="12.75">
      <c r="A110" s="435"/>
      <c r="B110" s="619" t="s">
        <v>182</v>
      </c>
      <c r="C110" s="619"/>
      <c r="D110" s="148"/>
      <c r="E110" s="620" t="s">
        <v>75</v>
      </c>
      <c r="F110" s="620"/>
      <c r="G110" s="413"/>
      <c r="H110" s="436"/>
      <c r="K110" s="95">
        <f t="shared" si="12"/>
        <v>0</v>
      </c>
    </row>
    <row r="111" spans="1:14" ht="12.75">
      <c r="A111" s="116"/>
      <c r="B111" s="117"/>
      <c r="C111" s="115"/>
      <c r="D111" s="117"/>
      <c r="E111" s="117"/>
      <c r="F111" s="117"/>
      <c r="G111" s="117"/>
      <c r="H111" s="99"/>
      <c r="K111" s="95">
        <f t="shared" si="12"/>
        <v>0</v>
      </c>
      <c r="N111" s="482"/>
    </row>
    <row r="112" spans="1:11" ht="12.75">
      <c r="A112" s="116"/>
      <c r="B112" s="117"/>
      <c r="C112" s="115"/>
      <c r="D112" s="117"/>
      <c r="E112" s="117"/>
      <c r="F112" s="117"/>
      <c r="G112" s="117"/>
      <c r="H112" s="99"/>
      <c r="K112" s="95">
        <f t="shared" si="12"/>
        <v>0</v>
      </c>
    </row>
    <row r="113" spans="1:11" ht="11.25" customHeight="1">
      <c r="A113" s="114"/>
      <c r="B113" s="574"/>
      <c r="C113" s="574"/>
      <c r="D113" s="115"/>
      <c r="E113" s="587"/>
      <c r="F113" s="587"/>
      <c r="G113" s="410"/>
      <c r="H113" s="434"/>
      <c r="K113" s="95">
        <f t="shared" si="12"/>
        <v>0</v>
      </c>
    </row>
    <row r="114" spans="1:11" ht="13.5" thickBot="1">
      <c r="A114" s="437"/>
      <c r="B114" s="608" t="s">
        <v>76</v>
      </c>
      <c r="C114" s="608"/>
      <c r="D114" s="438"/>
      <c r="E114" s="609"/>
      <c r="F114" s="609"/>
      <c r="G114" s="439"/>
      <c r="H114" s="440"/>
      <c r="K114" s="95">
        <f t="shared" si="12"/>
        <v>0</v>
      </c>
    </row>
    <row r="115" ht="12" customHeight="1">
      <c r="K115" s="95">
        <f t="shared" si="12"/>
        <v>0</v>
      </c>
    </row>
    <row r="116" ht="11.25" customHeight="1">
      <c r="L116" s="419"/>
    </row>
    <row r="117" ht="12" customHeight="1"/>
    <row r="118" ht="13.5" customHeight="1"/>
    <row r="119" ht="4.5" customHeight="1"/>
  </sheetData>
  <sheetProtection/>
  <mergeCells count="23">
    <mergeCell ref="A1:B1"/>
    <mergeCell ref="C1:H1"/>
    <mergeCell ref="A2:H2"/>
    <mergeCell ref="A3:H3"/>
    <mergeCell ref="A5:D5"/>
    <mergeCell ref="E5:H5"/>
    <mergeCell ref="A6:D6"/>
    <mergeCell ref="E6:H6"/>
    <mergeCell ref="A7:D7"/>
    <mergeCell ref="E7:E8"/>
    <mergeCell ref="F7:F8"/>
    <mergeCell ref="A8:D8"/>
    <mergeCell ref="B113:C113"/>
    <mergeCell ref="E113:F113"/>
    <mergeCell ref="B114:C114"/>
    <mergeCell ref="E114:F114"/>
    <mergeCell ref="A9:H9"/>
    <mergeCell ref="A103:G103"/>
    <mergeCell ref="A104:G104"/>
    <mergeCell ref="B109:C109"/>
    <mergeCell ref="E109:F109"/>
    <mergeCell ref="B110:C110"/>
    <mergeCell ref="E110:F110"/>
  </mergeCells>
  <printOptions horizontalCentered="1"/>
  <pageMargins left="0.3937007874015748" right="0.3937007874015748" top="0.3937007874015748" bottom="0.3937007874015748" header="0" footer="0"/>
  <pageSetup horizontalDpi="360" verticalDpi="360" orientation="portrait" paperSize="9" scale="73" r:id="rId2"/>
  <headerFooter alignWithMargins="0">
    <oddHeader>&amp;R
 &amp;P de &amp;N</oddHeader>
  </headerFooter>
  <rowBreaks count="1" manualBreakCount="1">
    <brk id="74" max="7" man="1"/>
  </rowBreaks>
  <drawing r:id="rId1"/>
</worksheet>
</file>

<file path=xl/worksheets/sheet3.xml><?xml version="1.0" encoding="utf-8"?>
<worksheet xmlns="http://schemas.openxmlformats.org/spreadsheetml/2006/main" xmlns:r="http://schemas.openxmlformats.org/officeDocument/2006/relationships">
  <sheetPr>
    <tabColor rgb="FF00B0F0"/>
  </sheetPr>
  <dimension ref="A1:L34"/>
  <sheetViews>
    <sheetView view="pageBreakPreview" zoomScale="115" zoomScaleSheetLayoutView="115" zoomScalePageLayoutView="0" workbookViewId="0" topLeftCell="A1">
      <selection activeCell="G28" sqref="G28"/>
    </sheetView>
  </sheetViews>
  <sheetFormatPr defaultColWidth="9.140625" defaultRowHeight="12.75"/>
  <cols>
    <col min="1" max="1" width="18.8515625" style="151" bestFit="1" customWidth="1"/>
    <col min="2" max="2" width="15.7109375" style="151" customWidth="1"/>
    <col min="3" max="3" width="13.57421875" style="151" customWidth="1"/>
    <col min="4" max="4" width="9.28125" style="151" customWidth="1"/>
    <col min="5" max="5" width="7.57421875" style="151" customWidth="1"/>
    <col min="6" max="6" width="12.8515625" style="151" customWidth="1"/>
    <col min="7" max="7" width="12.7109375" style="151" customWidth="1"/>
    <col min="8" max="8" width="13.421875" style="151" bestFit="1" customWidth="1"/>
    <col min="9" max="9" width="10.421875" style="151" bestFit="1" customWidth="1"/>
    <col min="10" max="10" width="12.8515625" style="151" bestFit="1" customWidth="1"/>
    <col min="11" max="11" width="12.7109375" style="151" bestFit="1" customWidth="1"/>
    <col min="12" max="12" width="12.7109375" style="151" customWidth="1"/>
    <col min="13" max="16384" width="9.140625" style="151" customWidth="1"/>
  </cols>
  <sheetData>
    <row r="1" spans="1:12" ht="12.75">
      <c r="A1" s="663" t="s">
        <v>124</v>
      </c>
      <c r="B1" s="663"/>
      <c r="C1" s="663"/>
      <c r="D1" s="663"/>
      <c r="E1" s="663"/>
      <c r="F1" s="150"/>
      <c r="G1" s="150"/>
      <c r="H1" s="150"/>
      <c r="I1" s="150"/>
      <c r="J1" s="150"/>
      <c r="K1" s="150"/>
      <c r="L1" s="150"/>
    </row>
    <row r="2" spans="1:12" ht="29.25" customHeight="1">
      <c r="A2" s="663" t="s">
        <v>125</v>
      </c>
      <c r="B2" s="663"/>
      <c r="C2" s="663"/>
      <c r="D2" s="663"/>
      <c r="E2" s="663"/>
      <c r="F2" s="150"/>
      <c r="G2" s="150"/>
      <c r="H2" s="150"/>
      <c r="I2" s="150"/>
      <c r="J2" s="150"/>
      <c r="K2" s="150"/>
      <c r="L2" s="150"/>
    </row>
    <row r="3" spans="1:12" ht="12.75">
      <c r="A3" s="663" t="s">
        <v>126</v>
      </c>
      <c r="B3" s="663"/>
      <c r="C3" s="152" t="s">
        <v>127</v>
      </c>
      <c r="D3" s="664" t="s">
        <v>128</v>
      </c>
      <c r="E3" s="664"/>
      <c r="F3" s="150"/>
      <c r="G3" s="150"/>
      <c r="H3" s="150"/>
      <c r="I3" s="150"/>
      <c r="J3" s="150"/>
      <c r="K3" s="150"/>
      <c r="L3" s="150"/>
    </row>
    <row r="4" spans="1:12" ht="12.75">
      <c r="A4" s="652" t="s">
        <v>129</v>
      </c>
      <c r="B4" s="652"/>
      <c r="C4" s="153" t="s">
        <v>130</v>
      </c>
      <c r="D4" s="653">
        <v>0.03</v>
      </c>
      <c r="E4" s="653"/>
      <c r="F4" s="150"/>
      <c r="G4" s="150"/>
      <c r="H4" s="150"/>
      <c r="I4" s="150"/>
      <c r="J4" s="150"/>
      <c r="K4" s="150"/>
      <c r="L4" s="150"/>
    </row>
    <row r="5" spans="1:12" ht="12.75">
      <c r="A5" s="652" t="s">
        <v>131</v>
      </c>
      <c r="B5" s="652"/>
      <c r="C5" s="153" t="s">
        <v>132</v>
      </c>
      <c r="D5" s="653">
        <v>0.0616</v>
      </c>
      <c r="E5" s="653"/>
      <c r="F5" s="150"/>
      <c r="G5" s="150"/>
      <c r="H5" s="150"/>
      <c r="I5" s="150"/>
      <c r="J5" s="150"/>
      <c r="K5" s="150"/>
      <c r="L5" s="150"/>
    </row>
    <row r="6" spans="1:12" ht="12.75">
      <c r="A6" s="652" t="s">
        <v>133</v>
      </c>
      <c r="B6" s="652"/>
      <c r="C6" s="153" t="s">
        <v>134</v>
      </c>
      <c r="D6" s="653">
        <v>0.0059</v>
      </c>
      <c r="E6" s="653"/>
      <c r="F6" s="150"/>
      <c r="G6" s="150"/>
      <c r="H6" s="150"/>
      <c r="I6" s="150"/>
      <c r="J6" s="150"/>
      <c r="K6" s="150"/>
      <c r="L6" s="150"/>
    </row>
    <row r="7" spans="1:12" ht="12.75">
      <c r="A7" s="652" t="s">
        <v>135</v>
      </c>
      <c r="B7" s="652"/>
      <c r="C7" s="153" t="s">
        <v>136</v>
      </c>
      <c r="D7" s="653">
        <v>0.008</v>
      </c>
      <c r="E7" s="653"/>
      <c r="F7" s="150"/>
      <c r="G7" s="150"/>
      <c r="H7" s="150"/>
      <c r="I7" s="150"/>
      <c r="J7" s="150"/>
      <c r="K7" s="150"/>
      <c r="L7" s="150"/>
    </row>
    <row r="8" spans="1:12" ht="12.75">
      <c r="A8" s="652" t="s">
        <v>137</v>
      </c>
      <c r="B8" s="652"/>
      <c r="C8" s="153" t="s">
        <v>138</v>
      </c>
      <c r="D8" s="653">
        <v>0</v>
      </c>
      <c r="E8" s="653"/>
      <c r="F8" s="150"/>
      <c r="G8" s="150"/>
      <c r="H8" s="150"/>
      <c r="I8" s="150"/>
      <c r="J8" s="150"/>
      <c r="K8" s="150"/>
      <c r="L8" s="150"/>
    </row>
    <row r="9" spans="1:12" ht="12.75">
      <c r="A9" s="652" t="s">
        <v>139</v>
      </c>
      <c r="B9" s="652"/>
      <c r="C9" s="153" t="s">
        <v>140</v>
      </c>
      <c r="D9" s="653">
        <v>0.0097</v>
      </c>
      <c r="E9" s="653"/>
      <c r="F9" s="150"/>
      <c r="G9" s="150"/>
      <c r="H9" s="150"/>
      <c r="I9" s="150"/>
      <c r="J9" s="150"/>
      <c r="K9" s="150"/>
      <c r="L9" s="150"/>
    </row>
    <row r="10" spans="1:12" ht="12.75">
      <c r="A10" s="652" t="s">
        <v>141</v>
      </c>
      <c r="B10" s="652"/>
      <c r="C10" s="153" t="s">
        <v>142</v>
      </c>
      <c r="D10" s="653">
        <v>0.0865</v>
      </c>
      <c r="E10" s="653"/>
      <c r="F10" s="150"/>
      <c r="G10" s="150"/>
      <c r="H10" s="150"/>
      <c r="I10" s="150"/>
      <c r="J10" s="150"/>
      <c r="K10" s="150"/>
      <c r="L10" s="150"/>
    </row>
    <row r="11" spans="1:12" ht="12.75">
      <c r="A11" s="652" t="s">
        <v>143</v>
      </c>
      <c r="B11" s="652"/>
      <c r="C11" s="153" t="s">
        <v>143</v>
      </c>
      <c r="D11" s="653">
        <v>0.05</v>
      </c>
      <c r="E11" s="653"/>
      <c r="F11" s="150"/>
      <c r="G11" s="150"/>
      <c r="H11" s="150"/>
      <c r="I11" s="150"/>
      <c r="J11" s="150"/>
      <c r="K11" s="150"/>
      <c r="L11" s="150"/>
    </row>
    <row r="12" spans="1:12" ht="12.75">
      <c r="A12" s="652" t="s">
        <v>144</v>
      </c>
      <c r="B12" s="652"/>
      <c r="C12" s="153" t="s">
        <v>144</v>
      </c>
      <c r="D12" s="653">
        <v>0.0065</v>
      </c>
      <c r="E12" s="653"/>
      <c r="F12" s="150"/>
      <c r="G12" s="150"/>
      <c r="H12" s="150"/>
      <c r="I12" s="150"/>
      <c r="J12" s="150"/>
      <c r="K12" s="150"/>
      <c r="L12" s="150"/>
    </row>
    <row r="13" spans="1:12" ht="12.75">
      <c r="A13" s="652" t="s">
        <v>145</v>
      </c>
      <c r="B13" s="652"/>
      <c r="C13" s="154" t="s">
        <v>145</v>
      </c>
      <c r="D13" s="662">
        <v>0.03</v>
      </c>
      <c r="E13" s="662"/>
      <c r="F13" s="150"/>
      <c r="G13" s="150"/>
      <c r="H13" s="150"/>
      <c r="I13" s="150"/>
      <c r="J13" s="150"/>
      <c r="K13" s="150"/>
      <c r="L13" s="150"/>
    </row>
    <row r="14" spans="1:12" ht="12.75">
      <c r="A14" s="654" t="s">
        <v>146</v>
      </c>
      <c r="B14" s="657" t="s">
        <v>147</v>
      </c>
      <c r="C14" s="657"/>
      <c r="D14" s="658"/>
      <c r="E14" s="659">
        <v>-1</v>
      </c>
      <c r="F14" s="150"/>
      <c r="G14" s="150"/>
      <c r="H14" s="150"/>
      <c r="I14" s="150"/>
      <c r="J14" s="150"/>
      <c r="K14" s="150"/>
      <c r="L14" s="150"/>
    </row>
    <row r="15" spans="1:12" ht="15" customHeight="1">
      <c r="A15" s="654"/>
      <c r="B15" s="660" t="s">
        <v>148</v>
      </c>
      <c r="C15" s="660"/>
      <c r="D15" s="661"/>
      <c r="E15" s="659"/>
      <c r="F15" s="150"/>
      <c r="G15" s="150"/>
      <c r="H15" s="150"/>
      <c r="I15" s="150"/>
      <c r="J15" s="150"/>
      <c r="K15" s="150"/>
      <c r="L15" s="150"/>
    </row>
    <row r="16" spans="1:12" ht="15" customHeight="1">
      <c r="A16" s="652" t="s">
        <v>149</v>
      </c>
      <c r="B16" s="652"/>
      <c r="C16" s="653">
        <f>((1+(D4+D7+D8+D9))*(1+D6)*(1+D5))</f>
        <v>1.1188</v>
      </c>
      <c r="D16" s="653"/>
      <c r="E16" s="653"/>
      <c r="F16" s="150"/>
      <c r="G16" s="150"/>
      <c r="H16" s="150"/>
      <c r="I16" s="150"/>
      <c r="J16" s="150"/>
      <c r="K16" s="150"/>
      <c r="L16" s="150"/>
    </row>
    <row r="17" spans="1:12" ht="12.75">
      <c r="A17" s="652" t="s">
        <v>150</v>
      </c>
      <c r="B17" s="652"/>
      <c r="C17" s="653">
        <f>(1-(D10))</f>
        <v>0.9135</v>
      </c>
      <c r="D17" s="653"/>
      <c r="E17" s="653"/>
      <c r="F17" s="150"/>
      <c r="G17" s="150"/>
      <c r="H17" s="150"/>
      <c r="I17" s="150"/>
      <c r="J17" s="150"/>
      <c r="K17" s="150"/>
      <c r="L17" s="150"/>
    </row>
    <row r="18" spans="1:12" ht="12.75">
      <c r="A18" s="654" t="s">
        <v>151</v>
      </c>
      <c r="B18" s="654"/>
      <c r="C18" s="655">
        <f>(C16/C17)-1</f>
        <v>0.2247</v>
      </c>
      <c r="D18" s="655"/>
      <c r="E18" s="655"/>
      <c r="F18" s="150"/>
      <c r="G18" s="150"/>
      <c r="H18" s="150"/>
      <c r="I18" s="150"/>
      <c r="J18" s="150"/>
      <c r="K18" s="150"/>
      <c r="L18" s="150"/>
    </row>
    <row r="19" spans="3:12" ht="12.75">
      <c r="C19" s="150"/>
      <c r="D19" s="150"/>
      <c r="E19" s="150"/>
      <c r="F19" s="150"/>
      <c r="G19" s="150"/>
      <c r="H19" s="150"/>
      <c r="I19" s="150"/>
      <c r="J19" s="150"/>
      <c r="K19" s="150"/>
      <c r="L19" s="150"/>
    </row>
    <row r="20" spans="3:12" ht="12.75">
      <c r="C20" s="150"/>
      <c r="D20" s="150"/>
      <c r="E20" s="150"/>
      <c r="F20" s="150"/>
      <c r="G20" s="150"/>
      <c r="H20" s="150"/>
      <c r="I20" s="150"/>
      <c r="J20" s="150"/>
      <c r="K20" s="150"/>
      <c r="L20" s="150"/>
    </row>
    <row r="21" spans="3:12" ht="12.75">
      <c r="C21" s="150"/>
      <c r="D21" s="150"/>
      <c r="E21" s="150"/>
      <c r="F21" s="150"/>
      <c r="G21" s="150"/>
      <c r="H21" s="150"/>
      <c r="I21" s="150"/>
      <c r="J21" s="150"/>
      <c r="K21" s="150"/>
      <c r="L21" s="150"/>
    </row>
    <row r="22" spans="1:12" ht="12.75">
      <c r="A22" s="656" t="s">
        <v>152</v>
      </c>
      <c r="B22" s="656"/>
      <c r="C22" s="656"/>
      <c r="D22" s="656"/>
      <c r="E22" s="155"/>
      <c r="F22" s="156"/>
      <c r="G22" s="156"/>
      <c r="H22" s="156"/>
      <c r="I22" s="156"/>
      <c r="J22" s="156"/>
      <c r="K22" s="156"/>
      <c r="L22" s="156"/>
    </row>
    <row r="23" spans="1:12" ht="12.75">
      <c r="A23" s="656" t="s">
        <v>468</v>
      </c>
      <c r="B23" s="656"/>
      <c r="C23" s="656"/>
      <c r="D23" s="656"/>
      <c r="E23" s="155"/>
      <c r="F23" s="156"/>
      <c r="G23" s="156"/>
      <c r="H23" s="156"/>
      <c r="I23" s="156"/>
      <c r="J23" s="156"/>
      <c r="K23" s="156"/>
      <c r="L23" s="156"/>
    </row>
    <row r="24" spans="1:12" ht="12.75">
      <c r="A24" s="650" t="s">
        <v>532</v>
      </c>
      <c r="B24" s="651"/>
      <c r="C24" s="651"/>
      <c r="D24" s="651"/>
      <c r="E24" s="155"/>
      <c r="F24" s="156"/>
      <c r="G24" s="156"/>
      <c r="H24" s="156"/>
      <c r="I24" s="156"/>
      <c r="J24" s="156"/>
      <c r="K24" s="156"/>
      <c r="L24" s="156"/>
    </row>
    <row r="25" spans="3:12" ht="12.75">
      <c r="C25" s="150"/>
      <c r="D25" s="150"/>
      <c r="E25" s="150"/>
      <c r="F25" s="150"/>
      <c r="G25" s="150"/>
      <c r="H25" s="150"/>
      <c r="I25" s="150"/>
      <c r="J25" s="150"/>
      <c r="K25" s="150"/>
      <c r="L25" s="150"/>
    </row>
    <row r="26" spans="3:12" ht="12.75">
      <c r="C26" s="150"/>
      <c r="D26" s="150"/>
      <c r="E26" s="150"/>
      <c r="F26" s="150"/>
      <c r="G26" s="150"/>
      <c r="H26" s="150"/>
      <c r="I26" s="150"/>
      <c r="J26" s="150"/>
      <c r="K26" s="150"/>
      <c r="L26" s="150"/>
    </row>
    <row r="27" spans="3:12" ht="12.75">
      <c r="C27" s="150"/>
      <c r="D27" s="150"/>
      <c r="E27" s="150"/>
      <c r="F27" s="150"/>
      <c r="G27" s="150"/>
      <c r="H27" s="150"/>
      <c r="I27" s="150"/>
      <c r="J27" s="150"/>
      <c r="K27" s="150"/>
      <c r="L27" s="150"/>
    </row>
    <row r="28" spans="3:12" ht="12.75">
      <c r="C28" s="150"/>
      <c r="D28" s="150"/>
      <c r="E28" s="150"/>
      <c r="F28" s="150"/>
      <c r="G28" s="150"/>
      <c r="H28" s="150"/>
      <c r="I28" s="150"/>
      <c r="J28" s="150"/>
      <c r="K28" s="150"/>
      <c r="L28" s="150"/>
    </row>
    <row r="29" spans="3:12" ht="12.75">
      <c r="C29" s="150"/>
      <c r="D29" s="150"/>
      <c r="E29" s="150"/>
      <c r="F29" s="150"/>
      <c r="G29" s="150"/>
      <c r="H29" s="150"/>
      <c r="I29" s="150"/>
      <c r="J29" s="150"/>
      <c r="K29" s="150"/>
      <c r="L29" s="150"/>
    </row>
    <row r="30" spans="3:12" ht="12.75">
      <c r="C30" s="150"/>
      <c r="D30" s="150"/>
      <c r="E30" s="150"/>
      <c r="F30" s="150"/>
      <c r="G30" s="150"/>
      <c r="H30" s="150"/>
      <c r="I30" s="150"/>
      <c r="J30" s="150"/>
      <c r="K30" s="150"/>
      <c r="L30" s="150"/>
    </row>
    <row r="31" spans="3:12" ht="12.75">
      <c r="C31" s="150"/>
      <c r="D31" s="150"/>
      <c r="E31" s="150"/>
      <c r="F31" s="150"/>
      <c r="G31" s="150"/>
      <c r="H31" s="150"/>
      <c r="I31" s="150"/>
      <c r="J31" s="150"/>
      <c r="K31" s="150"/>
      <c r="L31" s="150"/>
    </row>
    <row r="32" spans="3:12" ht="12.75">
      <c r="C32" s="150"/>
      <c r="D32" s="150"/>
      <c r="E32" s="150"/>
      <c r="F32" s="150"/>
      <c r="G32" s="150"/>
      <c r="H32" s="150"/>
      <c r="I32" s="150"/>
      <c r="J32" s="150"/>
      <c r="K32" s="150"/>
      <c r="L32" s="150"/>
    </row>
    <row r="33" spans="3:12" ht="12.75">
      <c r="C33" s="150"/>
      <c r="D33" s="150"/>
      <c r="E33" s="150"/>
      <c r="F33" s="150"/>
      <c r="G33" s="150"/>
      <c r="H33" s="150"/>
      <c r="I33" s="150"/>
      <c r="J33" s="150"/>
      <c r="K33" s="150"/>
      <c r="L33" s="150"/>
    </row>
    <row r="34" spans="3:12" ht="12.75">
      <c r="C34" s="150"/>
      <c r="D34" s="150"/>
      <c r="E34" s="150"/>
      <c r="F34" s="150"/>
      <c r="G34" s="150"/>
      <c r="H34" s="150"/>
      <c r="I34" s="150"/>
      <c r="J34" s="150"/>
      <c r="K34" s="150"/>
      <c r="L34" s="150"/>
    </row>
  </sheetData>
  <sheetProtection/>
  <mergeCells count="37">
    <mergeCell ref="A1:E1"/>
    <mergeCell ref="A2:E2"/>
    <mergeCell ref="A3:B3"/>
    <mergeCell ref="D3:E3"/>
    <mergeCell ref="A4:B4"/>
    <mergeCell ref="D4:E4"/>
    <mergeCell ref="A5:B5"/>
    <mergeCell ref="D5:E5"/>
    <mergeCell ref="A6:B6"/>
    <mergeCell ref="D6:E6"/>
    <mergeCell ref="A7:B7"/>
    <mergeCell ref="D7:E7"/>
    <mergeCell ref="A8:B8"/>
    <mergeCell ref="D8:E8"/>
    <mergeCell ref="A9:B9"/>
    <mergeCell ref="D9:E9"/>
    <mergeCell ref="A10:B10"/>
    <mergeCell ref="D10:E10"/>
    <mergeCell ref="A11:B11"/>
    <mergeCell ref="D11:E11"/>
    <mergeCell ref="A12:B12"/>
    <mergeCell ref="D12:E12"/>
    <mergeCell ref="A13:B13"/>
    <mergeCell ref="D13:E13"/>
    <mergeCell ref="A14:A15"/>
    <mergeCell ref="B14:D14"/>
    <mergeCell ref="E14:E15"/>
    <mergeCell ref="B15:D15"/>
    <mergeCell ref="A16:B16"/>
    <mergeCell ref="C16:E16"/>
    <mergeCell ref="A24:D24"/>
    <mergeCell ref="A17:B17"/>
    <mergeCell ref="C17:E17"/>
    <mergeCell ref="A18:B18"/>
    <mergeCell ref="C18:E18"/>
    <mergeCell ref="A22:D22"/>
    <mergeCell ref="A23:D23"/>
  </mergeCells>
  <printOptions horizontalCentered="1"/>
  <pageMargins left="0.7874015748031497" right="0.7874015748031497" top="0.984251968503937" bottom="0.984251968503937" header="0.5118110236220472" footer="0.5118110236220472"/>
  <pageSetup horizontalDpi="360" verticalDpi="360" orientation="portrait" r:id="rId1"/>
</worksheet>
</file>

<file path=xl/worksheets/sheet4.xml><?xml version="1.0" encoding="utf-8"?>
<worksheet xmlns="http://schemas.openxmlformats.org/spreadsheetml/2006/main" xmlns:r="http://schemas.openxmlformats.org/officeDocument/2006/relationships">
  <sheetPr>
    <tabColor rgb="FFFFC000"/>
  </sheetPr>
  <dimension ref="A1:M52"/>
  <sheetViews>
    <sheetView showGridLines="0" showZeros="0" view="pageBreakPreview" zoomScaleNormal="75" zoomScaleSheetLayoutView="100" zoomScalePageLayoutView="0" workbookViewId="0" topLeftCell="A1">
      <selection activeCell="M53" sqref="M53"/>
    </sheetView>
  </sheetViews>
  <sheetFormatPr defaultColWidth="9.140625" defaultRowHeight="12.75"/>
  <cols>
    <col min="1" max="1" width="10.57421875" style="157" customWidth="1"/>
    <col min="2" max="2" width="51.00390625" style="157" customWidth="1"/>
    <col min="3" max="3" width="14.421875" style="167" customWidth="1"/>
    <col min="4" max="4" width="13.140625" style="167" bestFit="1" customWidth="1"/>
    <col min="5" max="5" width="12.28125" style="157" customWidth="1"/>
    <col min="6" max="6" width="11.421875" style="157" customWidth="1"/>
    <col min="7" max="7" width="12.57421875" style="157" customWidth="1"/>
    <col min="8" max="8" width="12.421875" style="157" customWidth="1"/>
    <col min="9" max="9" width="12.7109375" style="157" customWidth="1"/>
    <col min="10" max="10" width="14.421875" style="157" customWidth="1"/>
    <col min="11" max="11" width="14.140625" style="157" customWidth="1"/>
    <col min="12" max="12" width="11.00390625" style="157" bestFit="1" customWidth="1"/>
    <col min="13" max="252" width="9.140625" style="157" customWidth="1"/>
    <col min="253" max="253" width="10.57421875" style="157" customWidth="1"/>
    <col min="254" max="254" width="51.00390625" style="157" customWidth="1"/>
    <col min="255" max="255" width="14.421875" style="157" customWidth="1"/>
    <col min="256" max="16384" width="12.421875" style="157" bestFit="1" customWidth="1"/>
  </cols>
  <sheetData>
    <row r="1" spans="1:10" ht="69.75" customHeight="1" thickBot="1">
      <c r="A1" s="634"/>
      <c r="B1" s="635"/>
      <c r="C1" s="635"/>
      <c r="D1" s="635"/>
      <c r="E1" s="635"/>
      <c r="F1" s="635"/>
      <c r="G1" s="635"/>
      <c r="H1" s="635"/>
      <c r="I1" s="635"/>
      <c r="J1" s="673"/>
    </row>
    <row r="2" spans="1:10" ht="18" customHeight="1" thickBot="1">
      <c r="A2" s="674" t="s">
        <v>153</v>
      </c>
      <c r="B2" s="675"/>
      <c r="C2" s="675"/>
      <c r="D2" s="675"/>
      <c r="E2" s="675"/>
      <c r="F2" s="675"/>
      <c r="G2" s="675"/>
      <c r="H2" s="675"/>
      <c r="I2" s="675"/>
      <c r="J2" s="676"/>
    </row>
    <row r="3" spans="1:10" ht="15.75" customHeight="1">
      <c r="A3" s="677" t="s">
        <v>529</v>
      </c>
      <c r="B3" s="678"/>
      <c r="C3" s="688" t="s">
        <v>516</v>
      </c>
      <c r="D3" s="690">
        <f>D43</f>
        <v>214889.96</v>
      </c>
      <c r="E3" s="682" t="s">
        <v>470</v>
      </c>
      <c r="F3" s="682"/>
      <c r="G3" s="682"/>
      <c r="H3" s="682"/>
      <c r="I3" s="684" t="s">
        <v>530</v>
      </c>
      <c r="J3" s="685"/>
    </row>
    <row r="4" spans="1:10" ht="24.75" customHeight="1" thickBot="1">
      <c r="A4" s="679"/>
      <c r="B4" s="680"/>
      <c r="C4" s="689"/>
      <c r="D4" s="691"/>
      <c r="E4" s="683"/>
      <c r="F4" s="683"/>
      <c r="G4" s="683"/>
      <c r="H4" s="683"/>
      <c r="I4" s="686"/>
      <c r="J4" s="687"/>
    </row>
    <row r="5" spans="1:10" ht="28.5" customHeight="1" thickBot="1">
      <c r="A5" s="505" t="s">
        <v>84</v>
      </c>
      <c r="B5" s="506" t="s">
        <v>154</v>
      </c>
      <c r="C5" s="507" t="s">
        <v>155</v>
      </c>
      <c r="D5" s="507" t="s">
        <v>156</v>
      </c>
      <c r="E5" s="506" t="s">
        <v>157</v>
      </c>
      <c r="F5" s="506" t="s">
        <v>158</v>
      </c>
      <c r="G5" s="506" t="s">
        <v>159</v>
      </c>
      <c r="H5" s="506" t="s">
        <v>160</v>
      </c>
      <c r="I5" s="506" t="s">
        <v>161</v>
      </c>
      <c r="J5" s="508" t="s">
        <v>162</v>
      </c>
    </row>
    <row r="6" spans="1:10" ht="14.25" customHeight="1" hidden="1">
      <c r="A6" s="681">
        <v>2</v>
      </c>
      <c r="B6" s="500" t="s">
        <v>165</v>
      </c>
      <c r="C6" s="501"/>
      <c r="D6" s="502"/>
      <c r="E6" s="502"/>
      <c r="F6" s="502"/>
      <c r="G6" s="502"/>
      <c r="H6" s="503"/>
      <c r="I6" s="502"/>
      <c r="J6" s="504"/>
    </row>
    <row r="7" spans="1:10" ht="14.25" customHeight="1" hidden="1">
      <c r="A7" s="665"/>
      <c r="B7" s="498" t="s">
        <v>166</v>
      </c>
      <c r="C7" s="158"/>
      <c r="D7" s="161"/>
      <c r="E7" s="161"/>
      <c r="F7" s="161"/>
      <c r="G7" s="161"/>
      <c r="H7" s="161"/>
      <c r="I7" s="161"/>
      <c r="J7" s="460"/>
    </row>
    <row r="8" spans="1:10" ht="14.25" customHeight="1" hidden="1">
      <c r="A8" s="665">
        <v>3</v>
      </c>
      <c r="B8" s="162" t="s">
        <v>167</v>
      </c>
      <c r="C8" s="158"/>
      <c r="D8" s="159"/>
      <c r="E8" s="159"/>
      <c r="F8" s="159"/>
      <c r="G8" s="159"/>
      <c r="H8" s="160"/>
      <c r="I8" s="159"/>
      <c r="J8" s="460"/>
    </row>
    <row r="9" spans="1:10" ht="14.25" customHeight="1" hidden="1">
      <c r="A9" s="665"/>
      <c r="B9" s="498" t="s">
        <v>168</v>
      </c>
      <c r="C9" s="158"/>
      <c r="D9" s="161"/>
      <c r="E9" s="161"/>
      <c r="F9" s="161"/>
      <c r="G9" s="161"/>
      <c r="H9" s="161"/>
      <c r="I9" s="161"/>
      <c r="J9" s="460"/>
    </row>
    <row r="10" spans="1:10" ht="14.25" customHeight="1" hidden="1">
      <c r="A10" s="665">
        <v>4</v>
      </c>
      <c r="B10" s="498" t="s">
        <v>169</v>
      </c>
      <c r="C10" s="158"/>
      <c r="D10" s="159"/>
      <c r="E10" s="159"/>
      <c r="F10" s="159"/>
      <c r="G10" s="159"/>
      <c r="H10" s="160"/>
      <c r="I10" s="159"/>
      <c r="J10" s="460"/>
    </row>
    <row r="11" spans="1:10" ht="14.25" customHeight="1" hidden="1">
      <c r="A11" s="665"/>
      <c r="B11" s="498" t="s">
        <v>170</v>
      </c>
      <c r="C11" s="158"/>
      <c r="D11" s="161"/>
      <c r="E11" s="161"/>
      <c r="F11" s="161"/>
      <c r="G11" s="161"/>
      <c r="H11" s="161"/>
      <c r="I11" s="161"/>
      <c r="J11" s="460"/>
    </row>
    <row r="12" spans="1:10" ht="14.25" customHeight="1" hidden="1">
      <c r="A12" s="665">
        <v>5</v>
      </c>
      <c r="B12" s="498" t="s">
        <v>171</v>
      </c>
      <c r="C12" s="158"/>
      <c r="D12" s="159"/>
      <c r="E12" s="159"/>
      <c r="F12" s="159"/>
      <c r="G12" s="159"/>
      <c r="H12" s="160"/>
      <c r="I12" s="159"/>
      <c r="J12" s="460"/>
    </row>
    <row r="13" spans="1:10" ht="14.25" customHeight="1" hidden="1">
      <c r="A13" s="665"/>
      <c r="B13" s="498" t="s">
        <v>172</v>
      </c>
      <c r="C13" s="158"/>
      <c r="D13" s="161"/>
      <c r="E13" s="161"/>
      <c r="F13" s="161"/>
      <c r="G13" s="161"/>
      <c r="H13" s="161"/>
      <c r="I13" s="161"/>
      <c r="J13" s="460"/>
    </row>
    <row r="14" spans="1:12" ht="14.25" customHeight="1">
      <c r="A14" s="665">
        <v>1</v>
      </c>
      <c r="B14" s="666" t="str">
        <f>Planilha!C11</f>
        <v>ADMINISTRAÇÃO LOCAL</v>
      </c>
      <c r="C14" s="509" t="s">
        <v>163</v>
      </c>
      <c r="D14" s="510">
        <f>D15/D43</f>
        <v>0.0655</v>
      </c>
      <c r="E14" s="511">
        <v>0.2</v>
      </c>
      <c r="F14" s="511">
        <v>0.2</v>
      </c>
      <c r="G14" s="511">
        <v>0.15</v>
      </c>
      <c r="H14" s="511">
        <v>0.15</v>
      </c>
      <c r="I14" s="511">
        <v>0.15</v>
      </c>
      <c r="J14" s="512">
        <v>0.15</v>
      </c>
      <c r="K14" s="451">
        <f>SUM(E14:J14)</f>
        <v>1</v>
      </c>
      <c r="L14" s="451"/>
    </row>
    <row r="15" spans="1:12" ht="14.25" customHeight="1">
      <c r="A15" s="665"/>
      <c r="B15" s="666"/>
      <c r="C15" s="158" t="s">
        <v>164</v>
      </c>
      <c r="D15" s="448">
        <f>Planilha!H11</f>
        <v>14074.4</v>
      </c>
      <c r="E15" s="161">
        <f>E14*D15</f>
        <v>2814.88</v>
      </c>
      <c r="F15" s="161">
        <f>F14*D15</f>
        <v>2814.88</v>
      </c>
      <c r="G15" s="161">
        <f>G14*D15</f>
        <v>2111.16</v>
      </c>
      <c r="H15" s="161">
        <f>H14*D15</f>
        <v>2111.16</v>
      </c>
      <c r="I15" s="161">
        <f>I14*D15</f>
        <v>2111.16</v>
      </c>
      <c r="J15" s="461">
        <f>J14*D15</f>
        <v>2111.16</v>
      </c>
      <c r="K15" s="459">
        <f>SUM(E15:J15)</f>
        <v>14074.4</v>
      </c>
      <c r="L15" s="452"/>
    </row>
    <row r="16" spans="1:11" ht="14.25" customHeight="1">
      <c r="A16" s="665">
        <v>2</v>
      </c>
      <c r="B16" s="666" t="str">
        <f>'[1]Planilha'!C11</f>
        <v>SERVIÇOS PRELIMINARES</v>
      </c>
      <c r="C16" s="509" t="s">
        <v>163</v>
      </c>
      <c r="D16" s="510">
        <f>D17/D43</f>
        <v>0.0083</v>
      </c>
      <c r="E16" s="511">
        <v>1</v>
      </c>
      <c r="F16" s="511"/>
      <c r="G16" s="511"/>
      <c r="H16" s="513"/>
      <c r="I16" s="511"/>
      <c r="J16" s="514"/>
      <c r="K16" s="451">
        <f aca="true" t="shared" si="0" ref="K16:K42">SUM(E16:J16)</f>
        <v>1</v>
      </c>
    </row>
    <row r="17" spans="1:11" ht="14.25" customHeight="1">
      <c r="A17" s="665"/>
      <c r="B17" s="666"/>
      <c r="C17" s="158" t="s">
        <v>164</v>
      </c>
      <c r="D17" s="448">
        <f>Planilha!H14</f>
        <v>1786.49</v>
      </c>
      <c r="E17" s="161">
        <f>E16*D17</f>
        <v>1786.49</v>
      </c>
      <c r="F17" s="161"/>
      <c r="G17" s="161"/>
      <c r="H17" s="161"/>
      <c r="I17" s="161"/>
      <c r="J17" s="460"/>
      <c r="K17" s="459">
        <f t="shared" si="0"/>
        <v>1786.49</v>
      </c>
    </row>
    <row r="18" spans="1:11" ht="14.25" customHeight="1">
      <c r="A18" s="665">
        <v>3</v>
      </c>
      <c r="B18" s="666" t="str">
        <f>Planilha!C16</f>
        <v>REMOÇÕES E DEMOLIÇÕES</v>
      </c>
      <c r="C18" s="509" t="s">
        <v>163</v>
      </c>
      <c r="D18" s="510">
        <f>D19/D43</f>
        <v>0.0855</v>
      </c>
      <c r="E18" s="511">
        <v>1</v>
      </c>
      <c r="F18" s="513"/>
      <c r="G18" s="511"/>
      <c r="H18" s="513"/>
      <c r="I18" s="511"/>
      <c r="J18" s="514"/>
      <c r="K18" s="451">
        <f t="shared" si="0"/>
        <v>1</v>
      </c>
    </row>
    <row r="19" spans="1:11" ht="14.25" customHeight="1">
      <c r="A19" s="665"/>
      <c r="B19" s="666"/>
      <c r="C19" s="158" t="s">
        <v>164</v>
      </c>
      <c r="D19" s="448">
        <f>Planilha!H16</f>
        <v>18381.88</v>
      </c>
      <c r="E19" s="161">
        <f>E18*D19</f>
        <v>18381.88</v>
      </c>
      <c r="F19" s="161"/>
      <c r="G19" s="161"/>
      <c r="H19" s="161"/>
      <c r="I19" s="161"/>
      <c r="J19" s="460"/>
      <c r="K19" s="459">
        <f t="shared" si="0"/>
        <v>18381.88</v>
      </c>
    </row>
    <row r="20" spans="1:11" ht="14.25" customHeight="1">
      <c r="A20" s="665">
        <v>4</v>
      </c>
      <c r="B20" s="666" t="str">
        <f>'[1]Planilha'!C29</f>
        <v>ALVENARIAS</v>
      </c>
      <c r="C20" s="509" t="s">
        <v>163</v>
      </c>
      <c r="D20" s="510">
        <f>D21/D43</f>
        <v>0.0505</v>
      </c>
      <c r="E20" s="511">
        <v>1</v>
      </c>
      <c r="F20" s="511"/>
      <c r="G20" s="511"/>
      <c r="H20" s="513"/>
      <c r="I20" s="511"/>
      <c r="J20" s="514"/>
      <c r="K20" s="451">
        <f t="shared" si="0"/>
        <v>1</v>
      </c>
    </row>
    <row r="21" spans="1:11" ht="14.25" customHeight="1">
      <c r="A21" s="665"/>
      <c r="B21" s="666"/>
      <c r="C21" s="158" t="s">
        <v>164</v>
      </c>
      <c r="D21" s="448">
        <f>Planilha!H28</f>
        <v>10856.42</v>
      </c>
      <c r="E21" s="161">
        <f>E20*D21</f>
        <v>10856.42</v>
      </c>
      <c r="F21" s="161">
        <f>F20*D21</f>
        <v>0</v>
      </c>
      <c r="G21" s="161"/>
      <c r="H21" s="161"/>
      <c r="I21" s="161"/>
      <c r="J21" s="460"/>
      <c r="K21" s="459">
        <f t="shared" si="0"/>
        <v>10856.42</v>
      </c>
    </row>
    <row r="22" spans="1:11" ht="14.25" customHeight="1" hidden="1">
      <c r="A22" s="665">
        <v>6</v>
      </c>
      <c r="B22" s="498" t="s">
        <v>169</v>
      </c>
      <c r="C22" s="158" t="s">
        <v>163</v>
      </c>
      <c r="D22" s="447"/>
      <c r="E22" s="159"/>
      <c r="F22" s="159"/>
      <c r="G22" s="159"/>
      <c r="H22" s="160"/>
      <c r="I22" s="159"/>
      <c r="J22" s="460"/>
      <c r="K22" s="451">
        <f t="shared" si="0"/>
        <v>0</v>
      </c>
    </row>
    <row r="23" spans="1:11" ht="14.25" customHeight="1" hidden="1">
      <c r="A23" s="665"/>
      <c r="B23" s="498" t="s">
        <v>170</v>
      </c>
      <c r="C23" s="158" t="s">
        <v>164</v>
      </c>
      <c r="D23" s="448"/>
      <c r="E23" s="161"/>
      <c r="F23" s="161"/>
      <c r="G23" s="161"/>
      <c r="H23" s="161"/>
      <c r="I23" s="161"/>
      <c r="J23" s="460"/>
      <c r="K23" s="451">
        <f t="shared" si="0"/>
        <v>0</v>
      </c>
    </row>
    <row r="24" spans="1:11" ht="14.25" customHeight="1">
      <c r="A24" s="665">
        <v>5</v>
      </c>
      <c r="B24" s="666" t="str">
        <f>'[1]Planilha'!C36</f>
        <v>ESQUADRIAS</v>
      </c>
      <c r="C24" s="509" t="s">
        <v>163</v>
      </c>
      <c r="D24" s="510">
        <f>D25/D43</f>
        <v>0.1522</v>
      </c>
      <c r="E24" s="511"/>
      <c r="F24" s="511">
        <v>0.5</v>
      </c>
      <c r="G24" s="511">
        <v>0.5</v>
      </c>
      <c r="H24" s="513"/>
      <c r="I24" s="511"/>
      <c r="J24" s="514"/>
      <c r="K24" s="451">
        <f t="shared" si="0"/>
        <v>1</v>
      </c>
    </row>
    <row r="25" spans="1:11" ht="14.25" customHeight="1">
      <c r="A25" s="665"/>
      <c r="B25" s="666"/>
      <c r="C25" s="158" t="s">
        <v>164</v>
      </c>
      <c r="D25" s="449">
        <f>Planilha!H35</f>
        <v>32714.1</v>
      </c>
      <c r="E25" s="163"/>
      <c r="F25" s="163">
        <f>F24*D25</f>
        <v>16357.05</v>
      </c>
      <c r="G25" s="163">
        <f>G24*D25</f>
        <v>16357.05</v>
      </c>
      <c r="H25" s="458">
        <f>H24*D25</f>
        <v>0</v>
      </c>
      <c r="I25" s="159"/>
      <c r="J25" s="462"/>
      <c r="K25" s="459">
        <f t="shared" si="0"/>
        <v>32714.1</v>
      </c>
    </row>
    <row r="26" spans="1:12" ht="14.25" customHeight="1">
      <c r="A26" s="665">
        <v>6</v>
      </c>
      <c r="B26" s="666" t="str">
        <f>'[1]Planilha'!C42</f>
        <v>COBERTURA</v>
      </c>
      <c r="C26" s="509" t="s">
        <v>163</v>
      </c>
      <c r="D26" s="510">
        <f>D27/D43</f>
        <v>0.1073</v>
      </c>
      <c r="E26" s="511"/>
      <c r="F26" s="511">
        <v>0.3</v>
      </c>
      <c r="G26" s="511">
        <v>0.7</v>
      </c>
      <c r="H26" s="511"/>
      <c r="I26" s="511"/>
      <c r="J26" s="515"/>
      <c r="K26" s="451">
        <f t="shared" si="0"/>
        <v>1</v>
      </c>
      <c r="L26" s="456"/>
    </row>
    <row r="27" spans="1:11" ht="14.25" customHeight="1">
      <c r="A27" s="665"/>
      <c r="B27" s="666"/>
      <c r="C27" s="158" t="s">
        <v>164</v>
      </c>
      <c r="D27" s="450">
        <f>Planilha!H42</f>
        <v>23054.1</v>
      </c>
      <c r="E27" s="164"/>
      <c r="F27" s="164">
        <f>F26*D27</f>
        <v>6916.23</v>
      </c>
      <c r="G27" s="164">
        <f>G26*D27</f>
        <v>16137.87</v>
      </c>
      <c r="H27" s="164"/>
      <c r="I27" s="164">
        <f>I26*D27</f>
        <v>0</v>
      </c>
      <c r="J27" s="460"/>
      <c r="K27" s="459">
        <f t="shared" si="0"/>
        <v>23054.1</v>
      </c>
    </row>
    <row r="28" spans="1:11" ht="14.25" customHeight="1">
      <c r="A28" s="665">
        <v>7</v>
      </c>
      <c r="B28" s="666" t="str">
        <f>'[1]Planilha'!C49</f>
        <v>REVESTIMENTOS </v>
      </c>
      <c r="C28" s="509" t="s">
        <v>163</v>
      </c>
      <c r="D28" s="510">
        <f>D29/D43</f>
        <v>0.03</v>
      </c>
      <c r="E28" s="511"/>
      <c r="F28" s="511"/>
      <c r="G28" s="511"/>
      <c r="H28" s="513">
        <v>1</v>
      </c>
      <c r="I28" s="511"/>
      <c r="J28" s="516"/>
      <c r="K28" s="451">
        <f t="shared" si="0"/>
        <v>1</v>
      </c>
    </row>
    <row r="29" spans="1:11" ht="14.25" customHeight="1">
      <c r="A29" s="665"/>
      <c r="B29" s="666"/>
      <c r="C29" s="158" t="s">
        <v>164</v>
      </c>
      <c r="D29" s="448">
        <f>Planilha!H47</f>
        <v>6452.55</v>
      </c>
      <c r="E29" s="161"/>
      <c r="F29" s="161"/>
      <c r="G29" s="161"/>
      <c r="H29" s="161">
        <f>H28*D29</f>
        <v>6452.55</v>
      </c>
      <c r="I29" s="161"/>
      <c r="J29" s="463"/>
      <c r="K29" s="459">
        <f t="shared" si="0"/>
        <v>6452.55</v>
      </c>
    </row>
    <row r="30" spans="1:11" ht="12.75">
      <c r="A30" s="665">
        <v>8</v>
      </c>
      <c r="B30" s="666" t="str">
        <f>'[1]Planilha'!C55</f>
        <v>PISO</v>
      </c>
      <c r="C30" s="509" t="s">
        <v>163</v>
      </c>
      <c r="D30" s="510">
        <f>D31/D43</f>
        <v>0.1123</v>
      </c>
      <c r="E30" s="511"/>
      <c r="F30" s="511"/>
      <c r="G30" s="511"/>
      <c r="H30" s="513"/>
      <c r="I30" s="511">
        <v>0.3</v>
      </c>
      <c r="J30" s="516">
        <v>0.7</v>
      </c>
      <c r="K30" s="451">
        <f t="shared" si="0"/>
        <v>1</v>
      </c>
    </row>
    <row r="31" spans="1:13" ht="12.75">
      <c r="A31" s="665"/>
      <c r="B31" s="666"/>
      <c r="C31" s="158" t="s">
        <v>164</v>
      </c>
      <c r="D31" s="448">
        <f>Planilha!H51</f>
        <v>24142.84</v>
      </c>
      <c r="E31" s="161"/>
      <c r="F31" s="161"/>
      <c r="G31" s="161"/>
      <c r="H31" s="161">
        <f>H30*D31</f>
        <v>0</v>
      </c>
      <c r="I31" s="161">
        <f>I30*D31</f>
        <v>7242.85</v>
      </c>
      <c r="J31" s="463">
        <f>J30*D31</f>
        <v>16899.99</v>
      </c>
      <c r="K31" s="459">
        <f t="shared" si="0"/>
        <v>24142.84</v>
      </c>
      <c r="M31" s="157" t="s">
        <v>35</v>
      </c>
    </row>
    <row r="32" spans="1:11" ht="12.75">
      <c r="A32" s="665">
        <v>9</v>
      </c>
      <c r="B32" s="666" t="str">
        <f>'[1]Planilha'!C59</f>
        <v>PINTURA</v>
      </c>
      <c r="C32" s="509" t="s">
        <v>163</v>
      </c>
      <c r="D32" s="510">
        <f>D33/D43</f>
        <v>0.1796</v>
      </c>
      <c r="E32" s="511"/>
      <c r="F32" s="511"/>
      <c r="G32" s="511"/>
      <c r="H32" s="513">
        <v>0.4</v>
      </c>
      <c r="I32" s="511">
        <v>0.6</v>
      </c>
      <c r="J32" s="535"/>
      <c r="K32" s="451">
        <f t="shared" si="0"/>
        <v>1</v>
      </c>
    </row>
    <row r="33" spans="1:11" ht="12.75">
      <c r="A33" s="665"/>
      <c r="B33" s="666"/>
      <c r="C33" s="158" t="s">
        <v>164</v>
      </c>
      <c r="D33" s="448">
        <f>Planilha!H57</f>
        <v>38600.95</v>
      </c>
      <c r="E33" s="161"/>
      <c r="F33" s="161"/>
      <c r="G33" s="161"/>
      <c r="H33" s="161">
        <f>H32*D33</f>
        <v>15440.38</v>
      </c>
      <c r="I33" s="161">
        <f>I32*D33</f>
        <v>23160.57</v>
      </c>
      <c r="J33" s="536">
        <f>J32*D33</f>
        <v>0</v>
      </c>
      <c r="K33" s="459">
        <f t="shared" si="0"/>
        <v>38600.95</v>
      </c>
    </row>
    <row r="34" spans="1:11" ht="12.75">
      <c r="A34" s="665">
        <v>10</v>
      </c>
      <c r="B34" s="666" t="str">
        <f>'[1]Planilha'!C69</f>
        <v>INSTALAÇÕES HIDROSSANITÁRIAS</v>
      </c>
      <c r="C34" s="509" t="s">
        <v>163</v>
      </c>
      <c r="D34" s="510">
        <f>D35/D43</f>
        <v>0.0231</v>
      </c>
      <c r="E34" s="511"/>
      <c r="F34" s="511">
        <v>0.4</v>
      </c>
      <c r="G34" s="511">
        <v>0.6</v>
      </c>
      <c r="H34" s="513"/>
      <c r="I34" s="511"/>
      <c r="J34" s="535"/>
      <c r="K34" s="451">
        <f t="shared" si="0"/>
        <v>1</v>
      </c>
    </row>
    <row r="35" spans="1:11" ht="12.75">
      <c r="A35" s="665"/>
      <c r="B35" s="666"/>
      <c r="C35" s="158" t="s">
        <v>164</v>
      </c>
      <c r="D35" s="448">
        <f>Planilha!H67</f>
        <v>4970.26</v>
      </c>
      <c r="E35" s="161"/>
      <c r="F35" s="161">
        <f>F34*D35</f>
        <v>1988.1</v>
      </c>
      <c r="G35" s="161">
        <f>G34*D35</f>
        <v>2982.16</v>
      </c>
      <c r="H35" s="161"/>
      <c r="I35" s="161"/>
      <c r="J35" s="536"/>
      <c r="K35" s="459">
        <f t="shared" si="0"/>
        <v>4970.26</v>
      </c>
    </row>
    <row r="36" spans="1:11" ht="12.75">
      <c r="A36" s="665">
        <v>11</v>
      </c>
      <c r="B36" s="666" t="str">
        <f>Planilha!C75</f>
        <v>LOUÇAS, BANCADAS, ACESSÓRIOS E METAIS</v>
      </c>
      <c r="C36" s="509" t="s">
        <v>163</v>
      </c>
      <c r="D36" s="510">
        <f>D37/D43</f>
        <v>0.0557</v>
      </c>
      <c r="E36" s="511"/>
      <c r="F36" s="511"/>
      <c r="G36" s="511"/>
      <c r="H36" s="513">
        <v>0.8</v>
      </c>
      <c r="I36" s="511">
        <v>0.2</v>
      </c>
      <c r="J36" s="512"/>
      <c r="K36" s="451">
        <f t="shared" si="0"/>
        <v>1</v>
      </c>
    </row>
    <row r="37" spans="1:11" ht="12.75">
      <c r="A37" s="665"/>
      <c r="B37" s="666"/>
      <c r="C37" s="158" t="s">
        <v>164</v>
      </c>
      <c r="D37" s="448">
        <f>Planilha!H75</f>
        <v>11971.08</v>
      </c>
      <c r="E37" s="161"/>
      <c r="F37" s="161"/>
      <c r="G37" s="161"/>
      <c r="H37" s="161">
        <f>H36*D37</f>
        <v>9576.86</v>
      </c>
      <c r="I37" s="161">
        <f>I36*D37</f>
        <v>2394.22</v>
      </c>
      <c r="J37" s="536">
        <f>J36*D37</f>
        <v>0</v>
      </c>
      <c r="K37" s="459">
        <f t="shared" si="0"/>
        <v>11971.08</v>
      </c>
    </row>
    <row r="38" spans="1:11" ht="12.75">
      <c r="A38" s="665">
        <v>12</v>
      </c>
      <c r="B38" s="666" t="str">
        <f>Planilha!C88</f>
        <v>INSTALAÇÕES ELÉTRICAS</v>
      </c>
      <c r="C38" s="509" t="s">
        <v>163</v>
      </c>
      <c r="D38" s="510">
        <f>D39/D43</f>
        <v>0.0371</v>
      </c>
      <c r="E38" s="511"/>
      <c r="F38" s="511">
        <v>1</v>
      </c>
      <c r="G38" s="513"/>
      <c r="H38" s="517"/>
      <c r="I38" s="511"/>
      <c r="J38" s="535"/>
      <c r="K38" s="451">
        <f t="shared" si="0"/>
        <v>1</v>
      </c>
    </row>
    <row r="39" spans="1:11" ht="12.75">
      <c r="A39" s="665"/>
      <c r="B39" s="666"/>
      <c r="C39" s="158" t="s">
        <v>164</v>
      </c>
      <c r="D39" s="448">
        <f>Planilha!H88</f>
        <v>7981.62</v>
      </c>
      <c r="E39" s="161"/>
      <c r="F39" s="161">
        <f>F38*D39</f>
        <v>7981.62</v>
      </c>
      <c r="G39" s="161">
        <f>G38*D39</f>
        <v>0</v>
      </c>
      <c r="H39" s="464"/>
      <c r="I39" s="161"/>
      <c r="J39" s="536"/>
      <c r="K39" s="459">
        <f t="shared" si="0"/>
        <v>7981.62</v>
      </c>
    </row>
    <row r="40" spans="1:11" ht="12.75">
      <c r="A40" s="665">
        <v>13</v>
      </c>
      <c r="B40" s="666" t="str">
        <f>Planilha!C92</f>
        <v>RAMPA E PASSEIO</v>
      </c>
      <c r="C40" s="509" t="s">
        <v>163</v>
      </c>
      <c r="D40" s="510">
        <f>D41/D43</f>
        <v>0.0926</v>
      </c>
      <c r="E40" s="511"/>
      <c r="F40" s="511"/>
      <c r="G40" s="511"/>
      <c r="H40" s="513"/>
      <c r="I40" s="511">
        <v>0.1</v>
      </c>
      <c r="J40" s="535">
        <v>0.9</v>
      </c>
      <c r="K40" s="451">
        <f t="shared" si="0"/>
        <v>1</v>
      </c>
    </row>
    <row r="41" spans="1:11" ht="12.75">
      <c r="A41" s="665"/>
      <c r="B41" s="666"/>
      <c r="C41" s="158" t="s">
        <v>164</v>
      </c>
      <c r="D41" s="448">
        <f>Planilha!H92</f>
        <v>19903.27</v>
      </c>
      <c r="E41" s="161"/>
      <c r="F41" s="161">
        <f>F40*D41</f>
        <v>0</v>
      </c>
      <c r="G41" s="161"/>
      <c r="H41" s="161"/>
      <c r="I41" s="161">
        <f>I40*D41</f>
        <v>1990.33</v>
      </c>
      <c r="J41" s="536">
        <f>J40*D41</f>
        <v>17912.94</v>
      </c>
      <c r="K41" s="459">
        <f t="shared" si="0"/>
        <v>19903.27</v>
      </c>
    </row>
    <row r="42" spans="1:12" ht="14.25" customHeight="1">
      <c r="A42" s="668" t="s">
        <v>2</v>
      </c>
      <c r="B42" s="669"/>
      <c r="C42" s="518" t="s">
        <v>163</v>
      </c>
      <c r="D42" s="519">
        <v>1</v>
      </c>
      <c r="E42" s="520">
        <f>E43/D43</f>
        <v>0.1575</v>
      </c>
      <c r="F42" s="520">
        <f>F43/D43</f>
        <v>0.1678</v>
      </c>
      <c r="G42" s="520">
        <f>G43/D43</f>
        <v>0.1749</v>
      </c>
      <c r="H42" s="520">
        <f>H43/D43</f>
        <v>0.1563</v>
      </c>
      <c r="I42" s="520">
        <f>I43/D43</f>
        <v>0.1717</v>
      </c>
      <c r="J42" s="521">
        <f>J43/D43</f>
        <v>0.1718</v>
      </c>
      <c r="K42" s="451">
        <f t="shared" si="0"/>
        <v>1</v>
      </c>
      <c r="L42" s="451"/>
    </row>
    <row r="43" spans="1:11" ht="13.5" customHeight="1" thickBot="1">
      <c r="A43" s="670"/>
      <c r="B43" s="671"/>
      <c r="C43" s="165" t="s">
        <v>164</v>
      </c>
      <c r="D43" s="166">
        <f>SUM(D15,D17,D19,,D21,D25,D27,D29,D31,D33,D35,D37,D39,,D41)</f>
        <v>214889.96</v>
      </c>
      <c r="E43" s="166">
        <f>E15+E17+E19+E21</f>
        <v>33839.67</v>
      </c>
      <c r="F43" s="166">
        <f>F15+F17+F21+F25+F19+F27+F29+F31+F33+F35+F37+F39+F41</f>
        <v>36057.88</v>
      </c>
      <c r="G43" s="166">
        <f>G15+G17++G21+G25+G19+G27+G29+G31+G33+G35+G37+G39+G41</f>
        <v>37588.24</v>
      </c>
      <c r="H43" s="166">
        <f>H15+H29+H31+H37+H33</f>
        <v>33580.95</v>
      </c>
      <c r="I43" s="166">
        <f>I15+I17+I21+I25+I19+I27+I29+I31+I33+I35+I37+I39++I41</f>
        <v>36899.13</v>
      </c>
      <c r="J43" s="465">
        <f>J15+J17+J21+J25+J19+J27+J29+J31+J33+J35+J37+J39++J41</f>
        <v>36924.09</v>
      </c>
      <c r="K43" s="452">
        <f>E43+F43+G43+H43+I43+J43</f>
        <v>214889.96</v>
      </c>
    </row>
    <row r="44" spans="1:10" ht="13.5" customHeight="1">
      <c r="A44" s="114"/>
      <c r="B44" s="115"/>
      <c r="C44" s="115"/>
      <c r="D44" s="115"/>
      <c r="E44" s="115"/>
      <c r="F44" s="115"/>
      <c r="G44" s="115"/>
      <c r="H44" s="115"/>
      <c r="I44" s="464"/>
      <c r="J44" s="466"/>
    </row>
    <row r="45" spans="1:10" ht="13.5" customHeight="1">
      <c r="A45" s="114"/>
      <c r="B45" s="115"/>
      <c r="C45" s="115"/>
      <c r="D45" s="115"/>
      <c r="E45" s="115"/>
      <c r="F45" s="115"/>
      <c r="G45" s="115"/>
      <c r="H45" s="115"/>
      <c r="I45" s="464"/>
      <c r="J45" s="466"/>
    </row>
    <row r="46" spans="1:10" ht="13.5" customHeight="1">
      <c r="A46" s="114"/>
      <c r="B46" s="574"/>
      <c r="C46" s="574"/>
      <c r="D46" s="115"/>
      <c r="E46" s="574" t="s">
        <v>533</v>
      </c>
      <c r="F46" s="574"/>
      <c r="G46" s="495"/>
      <c r="H46" s="115"/>
      <c r="I46" s="464"/>
      <c r="J46" s="466"/>
    </row>
    <row r="47" spans="1:10" ht="12.75">
      <c r="A47" s="435"/>
      <c r="B47" s="672" t="s">
        <v>182</v>
      </c>
      <c r="C47" s="672"/>
      <c r="D47" s="148"/>
      <c r="E47" s="620" t="s">
        <v>75</v>
      </c>
      <c r="F47" s="620"/>
      <c r="G47" s="497"/>
      <c r="H47" s="148"/>
      <c r="I47" s="464"/>
      <c r="J47" s="466"/>
    </row>
    <row r="48" spans="1:10" ht="12.75">
      <c r="A48" s="116"/>
      <c r="B48" s="117"/>
      <c r="C48" s="117"/>
      <c r="D48" s="117"/>
      <c r="E48" s="117"/>
      <c r="F48" s="117"/>
      <c r="G48" s="117"/>
      <c r="H48" s="117"/>
      <c r="I48" s="464"/>
      <c r="J48" s="466"/>
    </row>
    <row r="49" spans="1:10" ht="12.75">
      <c r="A49" s="116"/>
      <c r="B49" s="117"/>
      <c r="C49" s="117"/>
      <c r="D49" s="117"/>
      <c r="E49" s="117"/>
      <c r="F49" s="117"/>
      <c r="G49" s="117"/>
      <c r="H49" s="117"/>
      <c r="I49" s="464"/>
      <c r="J49" s="466"/>
    </row>
    <row r="50" spans="1:10" ht="12.75">
      <c r="A50" s="114"/>
      <c r="B50" s="574"/>
      <c r="C50" s="574"/>
      <c r="D50" s="115"/>
      <c r="E50" s="587"/>
      <c r="F50" s="587"/>
      <c r="G50" s="495"/>
      <c r="H50" s="115"/>
      <c r="I50" s="464"/>
      <c r="J50" s="466"/>
    </row>
    <row r="51" spans="1:10" ht="13.5" thickBot="1">
      <c r="A51" s="437"/>
      <c r="B51" s="667" t="s">
        <v>76</v>
      </c>
      <c r="C51" s="667"/>
      <c r="D51" s="438"/>
      <c r="E51" s="609"/>
      <c r="F51" s="609"/>
      <c r="G51" s="496"/>
      <c r="H51" s="438"/>
      <c r="I51" s="467"/>
      <c r="J51" s="468"/>
    </row>
    <row r="52" spans="1:10" ht="13.5" thickBot="1">
      <c r="A52" s="533"/>
      <c r="B52" s="467"/>
      <c r="C52" s="534"/>
      <c r="D52" s="534"/>
      <c r="E52" s="467"/>
      <c r="F52" s="467"/>
      <c r="G52" s="467"/>
      <c r="H52" s="467"/>
      <c r="I52" s="467"/>
      <c r="J52" s="468"/>
    </row>
  </sheetData>
  <sheetProtection/>
  <mergeCells count="47">
    <mergeCell ref="A12:A13"/>
    <mergeCell ref="A1:J1"/>
    <mergeCell ref="A2:J2"/>
    <mergeCell ref="A3:B4"/>
    <mergeCell ref="A6:A7"/>
    <mergeCell ref="A8:A9"/>
    <mergeCell ref="A10:A11"/>
    <mergeCell ref="E3:H4"/>
    <mergeCell ref="I3:J4"/>
    <mergeCell ref="C3:C4"/>
    <mergeCell ref="D3:D4"/>
    <mergeCell ref="B32:B33"/>
    <mergeCell ref="A26:A27"/>
    <mergeCell ref="B26:B27"/>
    <mergeCell ref="A16:A17"/>
    <mergeCell ref="B16:B17"/>
    <mergeCell ref="A18:A19"/>
    <mergeCell ref="B18:B19"/>
    <mergeCell ref="A20:A21"/>
    <mergeCell ref="B20:B21"/>
    <mergeCell ref="A22:A23"/>
    <mergeCell ref="A24:A25"/>
    <mergeCell ref="B24:B25"/>
    <mergeCell ref="E50:F50"/>
    <mergeCell ref="B51:C51"/>
    <mergeCell ref="E51:F51"/>
    <mergeCell ref="A42:B43"/>
    <mergeCell ref="B46:C46"/>
    <mergeCell ref="E46:F46"/>
    <mergeCell ref="B47:C47"/>
    <mergeCell ref="E47:F47"/>
    <mergeCell ref="A14:A15"/>
    <mergeCell ref="B14:B15"/>
    <mergeCell ref="A40:A41"/>
    <mergeCell ref="B40:B41"/>
    <mergeCell ref="B50:C50"/>
    <mergeCell ref="A34:A35"/>
    <mergeCell ref="B34:B35"/>
    <mergeCell ref="A36:A37"/>
    <mergeCell ref="B36:B37"/>
    <mergeCell ref="A38:A39"/>
    <mergeCell ref="B38:B39"/>
    <mergeCell ref="A28:A29"/>
    <mergeCell ref="B28:B29"/>
    <mergeCell ref="A30:A31"/>
    <mergeCell ref="B30:B31"/>
    <mergeCell ref="A32:A33"/>
  </mergeCells>
  <printOptions horizontalCentered="1"/>
  <pageMargins left="0.3937007874015748" right="0.3937007874015748" top="0.5905511811023623" bottom="0.1968503937007874" header="0.1968503937007874" footer="0"/>
  <pageSetup horizontalDpi="360" verticalDpi="360" orientation="landscape" paperSize="9" scale="70" r:id="rId2"/>
  <drawing r:id="rId1"/>
</worksheet>
</file>

<file path=xl/worksheets/sheet5.xml><?xml version="1.0" encoding="utf-8"?>
<worksheet xmlns="http://schemas.openxmlformats.org/spreadsheetml/2006/main" xmlns:r="http://schemas.openxmlformats.org/officeDocument/2006/relationships">
  <sheetPr codeName="Plan3"/>
  <dimension ref="A1:G22"/>
  <sheetViews>
    <sheetView zoomScalePageLayoutView="0" workbookViewId="0" topLeftCell="A1">
      <selection activeCell="F18" sqref="F16:F18"/>
    </sheetView>
  </sheetViews>
  <sheetFormatPr defaultColWidth="9.140625" defaultRowHeight="12.75"/>
  <cols>
    <col min="1" max="2" width="9.140625" style="2" customWidth="1"/>
    <col min="3" max="3" width="38.57421875" style="2" customWidth="1"/>
    <col min="4" max="4" width="15.7109375" style="1" customWidth="1"/>
    <col min="5" max="5" width="9.140625" style="6" customWidth="1"/>
    <col min="6" max="6" width="12.7109375" style="6" customWidth="1"/>
    <col min="7" max="7" width="12.57421875" style="1" bestFit="1" customWidth="1"/>
    <col min="8" max="12" width="9.140625" style="4" customWidth="1"/>
    <col min="13" max="16384" width="9.140625" style="2" customWidth="1"/>
  </cols>
  <sheetData>
    <row r="1" spans="1:7" ht="12.75" customHeight="1">
      <c r="A1" s="692" t="s">
        <v>9</v>
      </c>
      <c r="B1" s="693"/>
      <c r="C1" s="693"/>
      <c r="D1" s="693"/>
      <c r="E1" s="693"/>
      <c r="F1" s="693"/>
      <c r="G1" s="694"/>
    </row>
    <row r="2" spans="1:7" ht="11.25">
      <c r="A2" s="16" t="s">
        <v>12</v>
      </c>
      <c r="B2" s="14" t="s">
        <v>13</v>
      </c>
      <c r="C2" s="11" t="s">
        <v>6</v>
      </c>
      <c r="D2" s="12" t="s">
        <v>14</v>
      </c>
      <c r="E2" s="13" t="s">
        <v>15</v>
      </c>
      <c r="F2" s="13" t="s">
        <v>7</v>
      </c>
      <c r="G2" s="17" t="s">
        <v>8</v>
      </c>
    </row>
    <row r="3" spans="1:7" ht="22.5">
      <c r="A3" s="18">
        <v>90777</v>
      </c>
      <c r="B3" s="8" t="s">
        <v>0</v>
      </c>
      <c r="C3" s="28" t="s">
        <v>17</v>
      </c>
      <c r="D3" s="9">
        <v>22</v>
      </c>
      <c r="E3" s="10">
        <v>81.18</v>
      </c>
      <c r="F3" s="10">
        <v>6</v>
      </c>
      <c r="G3" s="19">
        <f>PRODUCT(D3:F3)</f>
        <v>10715.76</v>
      </c>
    </row>
    <row r="4" spans="1:7" ht="11.25">
      <c r="A4" s="18"/>
      <c r="B4" s="8"/>
      <c r="C4" s="8"/>
      <c r="D4" s="9"/>
      <c r="E4" s="10"/>
      <c r="F4" s="10"/>
      <c r="G4" s="19"/>
    </row>
    <row r="5" spans="1:7" ht="11.25">
      <c r="A5" s="5"/>
      <c r="B5" s="3"/>
      <c r="C5" s="3"/>
      <c r="F5" s="10" t="s">
        <v>2</v>
      </c>
      <c r="G5" s="19">
        <f>SUM(G3:G4)</f>
        <v>10715.76</v>
      </c>
    </row>
    <row r="6" spans="1:7" ht="12" thickBot="1">
      <c r="A6" s="20"/>
      <c r="B6" s="21"/>
      <c r="C6" s="21" t="s">
        <v>10</v>
      </c>
      <c r="D6" s="22"/>
      <c r="E6" s="23"/>
      <c r="F6" s="23"/>
      <c r="G6" s="24"/>
    </row>
    <row r="9" spans="1:7" ht="14.25">
      <c r="A9" s="695" t="s">
        <v>16</v>
      </c>
      <c r="B9" s="695"/>
      <c r="C9" s="695"/>
      <c r="D9" s="695"/>
      <c r="E9" s="695"/>
      <c r="F9" s="695"/>
      <c r="G9" s="696"/>
    </row>
    <row r="10" spans="1:7" ht="11.25">
      <c r="A10" s="14" t="s">
        <v>12</v>
      </c>
      <c r="B10" s="14" t="s">
        <v>13</v>
      </c>
      <c r="C10" s="11" t="s">
        <v>6</v>
      </c>
      <c r="D10" s="12" t="s">
        <v>14</v>
      </c>
      <c r="E10" s="13" t="s">
        <v>15</v>
      </c>
      <c r="F10" s="13" t="s">
        <v>7</v>
      </c>
      <c r="G10" s="12" t="s">
        <v>8</v>
      </c>
    </row>
    <row r="11" spans="1:7" ht="11.25">
      <c r="A11" s="25"/>
      <c r="B11" s="25"/>
      <c r="C11" s="25"/>
      <c r="D11" s="26"/>
      <c r="E11" s="27"/>
      <c r="F11" s="27"/>
      <c r="G11" s="15">
        <v>0</v>
      </c>
    </row>
    <row r="12" spans="1:7" ht="11.25">
      <c r="A12" s="25"/>
      <c r="B12" s="25"/>
      <c r="C12" s="25"/>
      <c r="D12" s="26"/>
      <c r="E12" s="27"/>
      <c r="F12" s="27"/>
      <c r="G12" s="15">
        <v>0</v>
      </c>
    </row>
    <row r="13" spans="1:7" ht="11.25">
      <c r="A13" s="25"/>
      <c r="B13" s="25"/>
      <c r="C13" s="25"/>
      <c r="D13" s="26"/>
      <c r="E13" s="27"/>
      <c r="F13" s="27"/>
      <c r="G13" s="15">
        <f aca="true" t="shared" si="0" ref="G13:G20">D13*E13*F13</f>
        <v>0</v>
      </c>
    </row>
    <row r="14" spans="1:7" ht="11.25">
      <c r="A14" s="25"/>
      <c r="B14" s="25"/>
      <c r="C14" s="25"/>
      <c r="D14" s="26"/>
      <c r="E14" s="27"/>
      <c r="F14" s="27"/>
      <c r="G14" s="15">
        <f t="shared" si="0"/>
        <v>0</v>
      </c>
    </row>
    <row r="15" spans="1:7" ht="11.25">
      <c r="A15" s="25"/>
      <c r="B15" s="25"/>
      <c r="C15" s="25"/>
      <c r="D15" s="26"/>
      <c r="E15" s="27"/>
      <c r="F15" s="27"/>
      <c r="G15" s="15">
        <f t="shared" si="0"/>
        <v>0</v>
      </c>
    </row>
    <row r="16" spans="1:7" ht="11.25">
      <c r="A16" s="25"/>
      <c r="B16" s="25"/>
      <c r="C16" s="25"/>
      <c r="D16" s="26"/>
      <c r="E16" s="27"/>
      <c r="F16" s="27"/>
      <c r="G16" s="15">
        <f t="shared" si="0"/>
        <v>0</v>
      </c>
    </row>
    <row r="17" spans="1:7" ht="11.25">
      <c r="A17" s="25"/>
      <c r="B17" s="25"/>
      <c r="C17" s="25"/>
      <c r="D17" s="26"/>
      <c r="E17" s="27"/>
      <c r="F17" s="27"/>
      <c r="G17" s="15">
        <f t="shared" si="0"/>
        <v>0</v>
      </c>
    </row>
    <row r="18" spans="1:7" ht="11.25">
      <c r="A18" s="25"/>
      <c r="B18" s="25"/>
      <c r="C18" s="25"/>
      <c r="D18" s="26"/>
      <c r="E18" s="27"/>
      <c r="F18" s="27"/>
      <c r="G18" s="15">
        <f t="shared" si="0"/>
        <v>0</v>
      </c>
    </row>
    <row r="19" spans="1:7" ht="11.25">
      <c r="A19" s="25"/>
      <c r="B19" s="25"/>
      <c r="C19" s="25"/>
      <c r="D19" s="26"/>
      <c r="E19" s="27"/>
      <c r="F19" s="27"/>
      <c r="G19" s="15">
        <f t="shared" si="0"/>
        <v>0</v>
      </c>
    </row>
    <row r="20" spans="1:7" ht="11.25">
      <c r="A20" s="25"/>
      <c r="B20" s="25"/>
      <c r="C20" s="25"/>
      <c r="D20" s="26"/>
      <c r="E20" s="27"/>
      <c r="F20" s="27"/>
      <c r="G20" s="15">
        <f t="shared" si="0"/>
        <v>0</v>
      </c>
    </row>
    <row r="21" spans="1:7" ht="11.25">
      <c r="A21" s="3"/>
      <c r="B21" s="3"/>
      <c r="C21" s="3"/>
      <c r="F21" s="10" t="s">
        <v>2</v>
      </c>
      <c r="G21" s="15">
        <f>SUM(G11:G20)</f>
        <v>0</v>
      </c>
    </row>
    <row r="22" ht="11.25">
      <c r="C22" s="7" t="s">
        <v>11</v>
      </c>
    </row>
    <row r="24" ht="12"/>
    <row r="25" ht="12"/>
  </sheetData>
  <sheetProtection password="C8C6" sheet="1" objects="1" scenarios="1" selectLockedCells="1"/>
  <mergeCells count="2">
    <mergeCell ref="A1:G1"/>
    <mergeCell ref="A9:G9"/>
  </mergeCells>
  <printOptions/>
  <pageMargins left="0.511811024" right="0.511811024" top="0.787401575" bottom="0.787401575" header="0.31496062" footer="0.31496062"/>
  <pageSetup orientation="portrait" paperSize="9"/>
  <drawing r:id="rId1"/>
</worksheet>
</file>

<file path=xl/worksheets/sheet6.xml><?xml version="1.0" encoding="utf-8"?>
<worksheet xmlns="http://schemas.openxmlformats.org/spreadsheetml/2006/main" xmlns:r="http://schemas.openxmlformats.org/officeDocument/2006/relationships">
  <sheetPr>
    <tabColor rgb="FF002060"/>
  </sheetPr>
  <dimension ref="A1:S24"/>
  <sheetViews>
    <sheetView showGridLines="0" showZeros="0" view="pageBreakPreview" zoomScaleSheetLayoutView="100" zoomScalePageLayoutView="0" workbookViewId="0" topLeftCell="A1">
      <selection activeCell="M21" sqref="M21"/>
    </sheetView>
  </sheetViews>
  <sheetFormatPr defaultColWidth="9.140625" defaultRowHeight="12.75"/>
  <cols>
    <col min="1" max="1" width="5.421875" style="0" bestFit="1" customWidth="1"/>
    <col min="2" max="2" width="10.7109375" style="0" bestFit="1" customWidth="1"/>
    <col min="3" max="3" width="48.00390625" style="149" customWidth="1"/>
    <col min="4" max="4" width="11.57421875" style="0" customWidth="1"/>
    <col min="5" max="5" width="13.00390625" style="0" customWidth="1"/>
    <col min="6" max="7" width="12.28125" style="0" customWidth="1"/>
    <col min="8" max="8" width="0" style="0" hidden="1" customWidth="1"/>
    <col min="9" max="9" width="13.140625" style="0" hidden="1" customWidth="1"/>
    <col min="10" max="10" width="11.7109375" style="0" bestFit="1" customWidth="1"/>
    <col min="11" max="11" width="11.8515625" style="0" customWidth="1"/>
    <col min="256" max="16384" width="5.421875" style="0" bestFit="1" customWidth="1"/>
  </cols>
  <sheetData>
    <row r="1" spans="1:7" ht="69.75" customHeight="1">
      <c r="A1" s="634"/>
      <c r="B1" s="635"/>
      <c r="C1" s="636"/>
      <c r="D1" s="636"/>
      <c r="E1" s="636"/>
      <c r="F1" s="636"/>
      <c r="G1" s="637"/>
    </row>
    <row r="2" spans="1:7" ht="3.75" customHeight="1" thickBot="1">
      <c r="A2" s="638"/>
      <c r="B2" s="639"/>
      <c r="C2" s="639"/>
      <c r="D2" s="639"/>
      <c r="E2" s="639"/>
      <c r="F2" s="639"/>
      <c r="G2" s="640"/>
    </row>
    <row r="3" spans="1:7" ht="17.25" customHeight="1" thickBot="1">
      <c r="A3" s="641" t="s">
        <v>303</v>
      </c>
      <c r="B3" s="642"/>
      <c r="C3" s="642"/>
      <c r="D3" s="642"/>
      <c r="E3" s="642"/>
      <c r="F3" s="642"/>
      <c r="G3" s="643"/>
    </row>
    <row r="4" spans="1:7" ht="3.75" customHeight="1" thickBot="1">
      <c r="A4" s="119"/>
      <c r="B4" s="120"/>
      <c r="C4" s="120"/>
      <c r="D4" s="120"/>
      <c r="E4" s="120"/>
      <c r="F4" s="120"/>
      <c r="G4" s="121"/>
    </row>
    <row r="5" spans="1:14" ht="39.75" customHeight="1">
      <c r="A5" s="644" t="s">
        <v>529</v>
      </c>
      <c r="B5" s="645"/>
      <c r="C5" s="645"/>
      <c r="D5" s="646"/>
      <c r="E5" s="647" t="s">
        <v>530</v>
      </c>
      <c r="F5" s="648"/>
      <c r="G5" s="649"/>
      <c r="M5">
        <v>2</v>
      </c>
      <c r="N5">
        <v>3</v>
      </c>
    </row>
    <row r="6" spans="1:14" ht="27" customHeight="1">
      <c r="A6" s="621" t="s">
        <v>187</v>
      </c>
      <c r="B6" s="622"/>
      <c r="C6" s="622"/>
      <c r="D6" s="622"/>
      <c r="E6" s="622"/>
      <c r="F6" s="622"/>
      <c r="G6" s="697"/>
      <c r="M6">
        <v>2</v>
      </c>
      <c r="N6">
        <v>5</v>
      </c>
    </row>
    <row r="7" spans="1:7" ht="3.75" customHeight="1" thickBot="1">
      <c r="A7" s="610"/>
      <c r="B7" s="611"/>
      <c r="C7" s="611"/>
      <c r="D7" s="611"/>
      <c r="E7" s="611"/>
      <c r="F7" s="611"/>
      <c r="G7" s="612"/>
    </row>
    <row r="8" spans="1:19" ht="27" thickBot="1">
      <c r="A8" s="124" t="s">
        <v>84</v>
      </c>
      <c r="B8" s="125" t="s">
        <v>85</v>
      </c>
      <c r="C8" s="125" t="s">
        <v>86</v>
      </c>
      <c r="D8" s="125" t="s">
        <v>87</v>
      </c>
      <c r="E8" s="125" t="s">
        <v>305</v>
      </c>
      <c r="F8" s="126" t="s">
        <v>304</v>
      </c>
      <c r="G8" s="127" t="s">
        <v>306</v>
      </c>
      <c r="K8" s="52"/>
      <c r="L8" s="52"/>
      <c r="M8" s="52" t="e">
        <f>M5*M6*#REF!*#REF!</f>
        <v>#REF!</v>
      </c>
      <c r="N8" s="52" t="e">
        <f>N5*N6*#REF!*#REF!</f>
        <v>#REF!</v>
      </c>
      <c r="O8" s="52"/>
      <c r="P8" s="52"/>
      <c r="Q8" s="52"/>
      <c r="R8" s="52"/>
      <c r="S8" s="52"/>
    </row>
    <row r="9" spans="1:19" s="135" customFormat="1" ht="30">
      <c r="A9" s="287">
        <v>1</v>
      </c>
      <c r="B9" s="286">
        <v>94201</v>
      </c>
      <c r="C9" s="285" t="s">
        <v>307</v>
      </c>
      <c r="D9" s="288" t="s">
        <v>94</v>
      </c>
      <c r="E9" s="174"/>
      <c r="F9" s="174"/>
      <c r="G9" s="289"/>
      <c r="J9" s="136"/>
      <c r="K9" s="238"/>
      <c r="L9" s="238"/>
      <c r="M9" s="238"/>
      <c r="N9" s="238"/>
      <c r="O9" s="238"/>
      <c r="P9" s="238"/>
      <c r="Q9" s="238"/>
      <c r="R9" s="238"/>
      <c r="S9" s="238"/>
    </row>
    <row r="10" spans="1:19" s="137" customFormat="1" ht="12.75">
      <c r="A10" s="172" t="s">
        <v>18</v>
      </c>
      <c r="B10" s="294">
        <v>88316</v>
      </c>
      <c r="C10" s="250" t="s">
        <v>308</v>
      </c>
      <c r="D10" s="295" t="s">
        <v>185</v>
      </c>
      <c r="E10" s="290">
        <v>0.399</v>
      </c>
      <c r="F10" s="247">
        <v>19.76</v>
      </c>
      <c r="G10" s="175">
        <f>E10*F10</f>
        <v>7.88</v>
      </c>
      <c r="J10" s="138"/>
      <c r="K10" s="239"/>
      <c r="L10" s="239"/>
      <c r="M10" s="239"/>
      <c r="N10" s="239"/>
      <c r="O10" s="239"/>
      <c r="P10" s="239"/>
      <c r="Q10" s="239"/>
      <c r="R10" s="239"/>
      <c r="S10" s="239"/>
    </row>
    <row r="11" spans="1:19" s="137" customFormat="1" ht="12.75">
      <c r="A11" s="172" t="s">
        <v>33</v>
      </c>
      <c r="B11" s="296">
        <v>88323</v>
      </c>
      <c r="C11" s="285" t="s">
        <v>309</v>
      </c>
      <c r="D11" s="295" t="s">
        <v>185</v>
      </c>
      <c r="E11" s="292">
        <v>0.133</v>
      </c>
      <c r="F11" s="174">
        <v>26.79</v>
      </c>
      <c r="G11" s="175">
        <f>E11*F11</f>
        <v>3.56</v>
      </c>
      <c r="J11" s="138"/>
      <c r="K11" s="239"/>
      <c r="L11" s="239"/>
      <c r="M11" s="239"/>
      <c r="N11" s="239"/>
      <c r="O11" s="239"/>
      <c r="P11" s="239"/>
      <c r="Q11" s="239"/>
      <c r="R11" s="239"/>
      <c r="S11" s="239"/>
    </row>
    <row r="12" spans="1:19" s="137" customFormat="1" ht="30">
      <c r="A12" s="172" t="s">
        <v>313</v>
      </c>
      <c r="B12" s="296">
        <v>93281</v>
      </c>
      <c r="C12" s="285" t="s">
        <v>311</v>
      </c>
      <c r="D12" s="297" t="s">
        <v>312</v>
      </c>
      <c r="E12" s="290">
        <v>0.0372</v>
      </c>
      <c r="F12" s="247">
        <v>26.74</v>
      </c>
      <c r="G12" s="175">
        <f>E12*F12</f>
        <v>0.99</v>
      </c>
      <c r="J12" s="138"/>
      <c r="K12" s="239"/>
      <c r="L12" s="239"/>
      <c r="M12" s="239"/>
      <c r="N12" s="239"/>
      <c r="O12" s="239"/>
      <c r="P12" s="239"/>
      <c r="Q12" s="239"/>
      <c r="R12" s="239"/>
      <c r="S12" s="239"/>
    </row>
    <row r="13" spans="1:19" s="137" customFormat="1" ht="21" thickBot="1">
      <c r="A13" s="172" t="s">
        <v>314</v>
      </c>
      <c r="B13" s="298">
        <v>93282</v>
      </c>
      <c r="C13" s="299" t="s">
        <v>310</v>
      </c>
      <c r="D13" s="300" t="s">
        <v>315</v>
      </c>
      <c r="E13" s="292">
        <v>0.0516</v>
      </c>
      <c r="F13" s="305">
        <v>25.85</v>
      </c>
      <c r="G13" s="306">
        <f>E13*F13</f>
        <v>1.33</v>
      </c>
      <c r="J13" s="138">
        <f>F13*1.2247</f>
        <v>31.66</v>
      </c>
      <c r="K13" s="239"/>
      <c r="L13" s="239"/>
      <c r="M13" s="239"/>
      <c r="N13" s="239"/>
      <c r="O13" s="239"/>
      <c r="P13" s="239"/>
      <c r="Q13" s="239"/>
      <c r="R13" s="239"/>
      <c r="S13" s="239"/>
    </row>
    <row r="14" spans="1:19" s="137" customFormat="1" ht="13.5" thickBot="1">
      <c r="A14" s="172"/>
      <c r="B14" s="296"/>
      <c r="C14" s="301"/>
      <c r="D14" s="295"/>
      <c r="E14" s="293"/>
      <c r="F14" s="311" t="s">
        <v>2</v>
      </c>
      <c r="G14" s="307">
        <f>SUM(G10:G13)</f>
        <v>13.76</v>
      </c>
      <c r="J14" s="138"/>
      <c r="K14" s="239"/>
      <c r="L14" s="239"/>
      <c r="M14" s="239"/>
      <c r="N14" s="239"/>
      <c r="O14" s="239"/>
      <c r="P14" s="239"/>
      <c r="Q14" s="239"/>
      <c r="R14" s="239"/>
      <c r="S14" s="239"/>
    </row>
    <row r="15" spans="1:19" s="137" customFormat="1" ht="12.75">
      <c r="A15" s="302"/>
      <c r="B15" s="302"/>
      <c r="C15" s="308"/>
      <c r="D15" s="303"/>
      <c r="E15" s="291"/>
      <c r="F15" s="304"/>
      <c r="G15" s="309"/>
      <c r="J15" s="138"/>
      <c r="K15" s="239"/>
      <c r="L15" s="239"/>
      <c r="M15" s="239"/>
      <c r="N15" s="239"/>
      <c r="O15" s="239"/>
      <c r="P15" s="239"/>
      <c r="Q15" s="239"/>
      <c r="R15" s="239"/>
      <c r="S15" s="239"/>
    </row>
    <row r="16" spans="1:19" s="137" customFormat="1" ht="12.75">
      <c r="A16" s="302"/>
      <c r="B16" s="302"/>
      <c r="C16" s="308"/>
      <c r="D16" s="303"/>
      <c r="E16" s="291"/>
      <c r="F16" s="304"/>
      <c r="G16" s="309"/>
      <c r="J16" s="138"/>
      <c r="K16" s="239"/>
      <c r="L16" s="239"/>
      <c r="M16" s="239"/>
      <c r="N16" s="239"/>
      <c r="O16" s="239"/>
      <c r="P16" s="239"/>
      <c r="Q16" s="239"/>
      <c r="R16" s="239"/>
      <c r="S16" s="239"/>
    </row>
    <row r="17" spans="1:10" ht="11.25" customHeight="1">
      <c r="A17" s="115"/>
      <c r="B17" s="115"/>
      <c r="C17" s="115"/>
      <c r="D17" s="115"/>
      <c r="E17" s="115"/>
      <c r="F17" s="115"/>
      <c r="G17" s="115"/>
      <c r="J17" s="95">
        <f aca="true" t="shared" si="0" ref="J17:J24">F17*1.2247</f>
        <v>0</v>
      </c>
    </row>
    <row r="18" spans="1:10" ht="11.25" customHeight="1">
      <c r="A18" s="115"/>
      <c r="B18" s="574"/>
      <c r="C18" s="574"/>
      <c r="D18" s="115"/>
      <c r="E18" s="574" t="s">
        <v>531</v>
      </c>
      <c r="F18" s="574"/>
      <c r="G18" s="115"/>
      <c r="J18" s="95">
        <f t="shared" si="0"/>
        <v>0</v>
      </c>
    </row>
    <row r="19" spans="1:10" ht="12.75">
      <c r="A19" s="148"/>
      <c r="B19" s="672" t="s">
        <v>182</v>
      </c>
      <c r="C19" s="672"/>
      <c r="D19" s="148"/>
      <c r="E19" s="620" t="s">
        <v>75</v>
      </c>
      <c r="F19" s="620"/>
      <c r="G19" s="148"/>
      <c r="J19" s="95">
        <f t="shared" si="0"/>
        <v>0</v>
      </c>
    </row>
    <row r="20" spans="1:10" ht="12.75">
      <c r="A20" s="59"/>
      <c r="B20" s="59"/>
      <c r="C20" s="85"/>
      <c r="D20" s="59"/>
      <c r="E20" s="59"/>
      <c r="F20" s="59"/>
      <c r="G20" s="59"/>
      <c r="J20" s="95">
        <f t="shared" si="0"/>
        <v>0</v>
      </c>
    </row>
    <row r="21" spans="1:10" ht="12.75">
      <c r="A21" s="59"/>
      <c r="B21" s="59"/>
      <c r="C21" s="85"/>
      <c r="D21" s="59"/>
      <c r="E21" s="59"/>
      <c r="F21" s="59"/>
      <c r="G21" s="59"/>
      <c r="J21" s="95">
        <f t="shared" si="0"/>
        <v>0</v>
      </c>
    </row>
    <row r="22" spans="1:10" ht="11.25" customHeight="1">
      <c r="A22" s="115"/>
      <c r="B22" s="574"/>
      <c r="C22" s="574"/>
      <c r="D22" s="115"/>
      <c r="E22" s="587"/>
      <c r="F22" s="587"/>
      <c r="G22" s="115"/>
      <c r="J22" s="95">
        <f t="shared" si="0"/>
        <v>0</v>
      </c>
    </row>
    <row r="23" spans="1:10" ht="12.75">
      <c r="A23" s="148"/>
      <c r="B23" s="672" t="s">
        <v>76</v>
      </c>
      <c r="C23" s="672"/>
      <c r="D23" s="148"/>
      <c r="E23" s="620"/>
      <c r="F23" s="620"/>
      <c r="G23" s="148"/>
      <c r="J23" s="95">
        <f t="shared" si="0"/>
        <v>0</v>
      </c>
    </row>
    <row r="24" ht="12" customHeight="1">
      <c r="J24" s="95">
        <f t="shared" si="0"/>
        <v>0</v>
      </c>
    </row>
    <row r="25" ht="11.25" customHeight="1"/>
    <row r="26" ht="12" customHeight="1"/>
    <row r="27" ht="13.5" customHeight="1"/>
    <row r="28" ht="4.5" customHeight="1"/>
  </sheetData>
  <sheetProtection/>
  <mergeCells count="16">
    <mergeCell ref="B22:C22"/>
    <mergeCell ref="E22:F22"/>
    <mergeCell ref="B23:C23"/>
    <mergeCell ref="E23:F23"/>
    <mergeCell ref="A6:G6"/>
    <mergeCell ref="A7:G7"/>
    <mergeCell ref="B18:C18"/>
    <mergeCell ref="E18:F18"/>
    <mergeCell ref="B19:C19"/>
    <mergeCell ref="E19:F19"/>
    <mergeCell ref="A1:B1"/>
    <mergeCell ref="C1:G1"/>
    <mergeCell ref="A2:G2"/>
    <mergeCell ref="A3:G3"/>
    <mergeCell ref="A5:D5"/>
    <mergeCell ref="E5:G5"/>
  </mergeCells>
  <printOptions horizontalCentered="1"/>
  <pageMargins left="0.3937007874015748" right="0.3937007874015748" top="0.3937007874015748" bottom="0.3937007874015748" header="0" footer="0"/>
  <pageSetup horizontalDpi="360" verticalDpi="360" orientation="portrait" paperSize="9" scale="73" r:id="rId2"/>
  <headerFooter alignWithMargins="0">
    <oddHeader>&amp;R
 &amp;P de &amp;N</oddHeader>
  </headerFooter>
  <drawing r:id="rId1"/>
</worksheet>
</file>

<file path=xl/worksheets/sheet7.xml><?xml version="1.0" encoding="utf-8"?>
<worksheet xmlns="http://schemas.openxmlformats.org/spreadsheetml/2006/main" xmlns:r="http://schemas.openxmlformats.org/officeDocument/2006/relationships">
  <sheetPr>
    <tabColor rgb="FF002060"/>
  </sheetPr>
  <dimension ref="A1:S24"/>
  <sheetViews>
    <sheetView showGridLines="0" showZeros="0" view="pageBreakPreview" zoomScaleSheetLayoutView="100" zoomScalePageLayoutView="0" workbookViewId="0" topLeftCell="A1">
      <selection activeCell="J21" sqref="J21"/>
    </sheetView>
  </sheetViews>
  <sheetFormatPr defaultColWidth="9.140625" defaultRowHeight="12.75"/>
  <cols>
    <col min="1" max="1" width="5.421875" style="0" bestFit="1" customWidth="1"/>
    <col min="2" max="2" width="10.7109375" style="0" bestFit="1" customWidth="1"/>
    <col min="3" max="3" width="48.00390625" style="149" customWidth="1"/>
    <col min="5" max="5" width="13.00390625" style="0" customWidth="1"/>
    <col min="6" max="7" width="12.28125" style="0" customWidth="1"/>
    <col min="8" max="8" width="0" style="0" hidden="1" customWidth="1"/>
    <col min="9" max="9" width="13.140625" style="0" hidden="1" customWidth="1"/>
    <col min="10" max="10" width="11.7109375" style="0" bestFit="1" customWidth="1"/>
    <col min="11" max="11" width="11.8515625" style="0" customWidth="1"/>
    <col min="256" max="16384" width="5.421875" style="0" bestFit="1" customWidth="1"/>
  </cols>
  <sheetData>
    <row r="1" spans="1:7" ht="69.75" customHeight="1">
      <c r="A1" s="634"/>
      <c r="B1" s="635"/>
      <c r="C1" s="636"/>
      <c r="D1" s="636"/>
      <c r="E1" s="636"/>
      <c r="F1" s="636"/>
      <c r="G1" s="637"/>
    </row>
    <row r="2" spans="1:7" ht="3.75" customHeight="1" thickBot="1">
      <c r="A2" s="638"/>
      <c r="B2" s="639"/>
      <c r="C2" s="639"/>
      <c r="D2" s="639"/>
      <c r="E2" s="639"/>
      <c r="F2" s="639"/>
      <c r="G2" s="640"/>
    </row>
    <row r="3" spans="1:7" ht="17.25" customHeight="1" thickBot="1">
      <c r="A3" s="641" t="s">
        <v>303</v>
      </c>
      <c r="B3" s="642"/>
      <c r="C3" s="642"/>
      <c r="D3" s="642"/>
      <c r="E3" s="642"/>
      <c r="F3" s="642"/>
      <c r="G3" s="643"/>
    </row>
    <row r="4" spans="1:7" ht="3.75" customHeight="1" thickBot="1">
      <c r="A4" s="119"/>
      <c r="B4" s="120"/>
      <c r="C4" s="120"/>
      <c r="D4" s="120"/>
      <c r="E4" s="120"/>
      <c r="F4" s="120"/>
      <c r="G4" s="121"/>
    </row>
    <row r="5" spans="1:14" ht="37.5" customHeight="1">
      <c r="A5" s="644" t="s">
        <v>529</v>
      </c>
      <c r="B5" s="645"/>
      <c r="C5" s="645"/>
      <c r="D5" s="646"/>
      <c r="E5" s="647" t="s">
        <v>530</v>
      </c>
      <c r="F5" s="648"/>
      <c r="G5" s="649"/>
      <c r="M5">
        <v>2</v>
      </c>
      <c r="N5">
        <v>3</v>
      </c>
    </row>
    <row r="6" spans="1:14" ht="27" customHeight="1">
      <c r="A6" s="621" t="s">
        <v>187</v>
      </c>
      <c r="B6" s="622"/>
      <c r="C6" s="622"/>
      <c r="D6" s="622"/>
      <c r="E6" s="622"/>
      <c r="F6" s="622"/>
      <c r="G6" s="697"/>
      <c r="M6">
        <v>2</v>
      </c>
      <c r="N6">
        <v>5</v>
      </c>
    </row>
    <row r="7" spans="1:7" ht="3.75" customHeight="1" thickBot="1">
      <c r="A7" s="610"/>
      <c r="B7" s="611"/>
      <c r="C7" s="611"/>
      <c r="D7" s="611"/>
      <c r="E7" s="611"/>
      <c r="F7" s="611"/>
      <c r="G7" s="612"/>
    </row>
    <row r="8" spans="1:19" ht="27" thickBot="1">
      <c r="A8" s="124" t="s">
        <v>84</v>
      </c>
      <c r="B8" s="125" t="s">
        <v>85</v>
      </c>
      <c r="C8" s="125" t="s">
        <v>86</v>
      </c>
      <c r="D8" s="125" t="s">
        <v>87</v>
      </c>
      <c r="E8" s="125" t="s">
        <v>346</v>
      </c>
      <c r="F8" s="126" t="s">
        <v>347</v>
      </c>
      <c r="G8" s="127" t="s">
        <v>306</v>
      </c>
      <c r="K8" s="52"/>
      <c r="L8" s="52"/>
      <c r="M8" s="52" t="e">
        <f>M5*M6*#REF!*#REF!</f>
        <v>#REF!</v>
      </c>
      <c r="N8" s="52" t="e">
        <f>N5*N6*#REF!*#REF!</f>
        <v>#REF!</v>
      </c>
      <c r="O8" s="52"/>
      <c r="P8" s="52"/>
      <c r="Q8" s="52"/>
      <c r="R8" s="52"/>
      <c r="S8" s="52"/>
    </row>
    <row r="9" spans="1:19" s="135" customFormat="1" ht="40.5">
      <c r="A9" s="287">
        <v>1</v>
      </c>
      <c r="B9" s="286" t="s">
        <v>354</v>
      </c>
      <c r="C9" s="285" t="s">
        <v>402</v>
      </c>
      <c r="D9" s="288" t="s">
        <v>25</v>
      </c>
      <c r="E9" s="174"/>
      <c r="F9" s="174"/>
      <c r="G9" s="289"/>
      <c r="J9" s="136"/>
      <c r="K9" s="238"/>
      <c r="L9" s="238"/>
      <c r="M9" s="238"/>
      <c r="N9" s="238"/>
      <c r="O9" s="238"/>
      <c r="P9" s="238"/>
      <c r="Q9" s="238"/>
      <c r="R9" s="238"/>
      <c r="S9" s="238"/>
    </row>
    <row r="10" spans="1:19" s="137" customFormat="1" ht="20.25">
      <c r="A10" s="172" t="s">
        <v>18</v>
      </c>
      <c r="B10" s="294" t="s">
        <v>349</v>
      </c>
      <c r="C10" s="250" t="s">
        <v>399</v>
      </c>
      <c r="D10" s="295" t="s">
        <v>95</v>
      </c>
      <c r="E10" s="290">
        <v>0.0042667</v>
      </c>
      <c r="F10" s="247">
        <v>555.41</v>
      </c>
      <c r="G10" s="175">
        <f>E10*F10</f>
        <v>2.37</v>
      </c>
      <c r="J10" s="138"/>
      <c r="K10" s="239"/>
      <c r="L10" s="239"/>
      <c r="M10" s="239"/>
      <c r="N10" s="239"/>
      <c r="O10" s="239"/>
      <c r="P10" s="239"/>
      <c r="Q10" s="239"/>
      <c r="R10" s="239"/>
      <c r="S10" s="239"/>
    </row>
    <row r="11" spans="1:19" s="137" customFormat="1" ht="12.75">
      <c r="A11" s="172" t="s">
        <v>33</v>
      </c>
      <c r="B11" s="296" t="s">
        <v>348</v>
      </c>
      <c r="C11" s="285" t="s">
        <v>400</v>
      </c>
      <c r="D11" s="295" t="s">
        <v>185</v>
      </c>
      <c r="E11" s="292">
        <v>0.4888889</v>
      </c>
      <c r="F11" s="174">
        <v>27.45</v>
      </c>
      <c r="G11" s="175">
        <f>E11*F11</f>
        <v>13.42</v>
      </c>
      <c r="J11" s="138"/>
      <c r="K11" s="239"/>
      <c r="L11" s="239"/>
      <c r="M11" s="239"/>
      <c r="N11" s="239"/>
      <c r="O11" s="239"/>
      <c r="P11" s="239"/>
      <c r="Q11" s="239"/>
      <c r="R11" s="239"/>
      <c r="S11" s="239"/>
    </row>
    <row r="12" spans="1:19" s="137" customFormat="1" ht="12.75">
      <c r="A12" s="172" t="s">
        <v>313</v>
      </c>
      <c r="B12" s="296" t="s">
        <v>350</v>
      </c>
      <c r="C12" s="285" t="s">
        <v>308</v>
      </c>
      <c r="D12" s="297" t="s">
        <v>185</v>
      </c>
      <c r="E12" s="290">
        <v>0.4888889</v>
      </c>
      <c r="F12" s="247">
        <v>19.76</v>
      </c>
      <c r="G12" s="175">
        <f>E12*F12</f>
        <v>9.66</v>
      </c>
      <c r="J12" s="138"/>
      <c r="K12" s="239"/>
      <c r="L12" s="239"/>
      <c r="M12" s="239"/>
      <c r="N12" s="239"/>
      <c r="O12" s="239"/>
      <c r="P12" s="239"/>
      <c r="Q12" s="239"/>
      <c r="R12" s="239"/>
      <c r="S12" s="239"/>
    </row>
    <row r="13" spans="1:19" s="137" customFormat="1" ht="13.5" thickBot="1">
      <c r="A13" s="172" t="s">
        <v>314</v>
      </c>
      <c r="B13" s="298" t="s">
        <v>351</v>
      </c>
      <c r="C13" s="299" t="s">
        <v>401</v>
      </c>
      <c r="D13" s="300" t="s">
        <v>352</v>
      </c>
      <c r="E13" s="292">
        <v>1.0533333</v>
      </c>
      <c r="F13" s="305">
        <v>9.07</v>
      </c>
      <c r="G13" s="306">
        <f>E13*F13</f>
        <v>9.55</v>
      </c>
      <c r="J13" s="138">
        <f>F13*1.2247</f>
        <v>11.11</v>
      </c>
      <c r="K13" s="239"/>
      <c r="L13" s="239"/>
      <c r="M13" s="239"/>
      <c r="N13" s="239"/>
      <c r="O13" s="239"/>
      <c r="P13" s="239"/>
      <c r="Q13" s="239"/>
      <c r="R13" s="239"/>
      <c r="S13" s="239"/>
    </row>
    <row r="14" spans="1:19" s="137" customFormat="1" ht="13.5" thickBot="1">
      <c r="A14" s="543"/>
      <c r="B14" s="544"/>
      <c r="C14" s="545"/>
      <c r="D14" s="546"/>
      <c r="E14" s="547"/>
      <c r="F14" s="311" t="s">
        <v>2</v>
      </c>
      <c r="G14" s="307">
        <f>SUM(G10:G13)</f>
        <v>35</v>
      </c>
      <c r="J14" s="138"/>
      <c r="K14" s="239"/>
      <c r="L14" s="239"/>
      <c r="M14" s="239"/>
      <c r="N14" s="239"/>
      <c r="O14" s="239"/>
      <c r="P14" s="239"/>
      <c r="Q14" s="239"/>
      <c r="R14" s="239"/>
      <c r="S14" s="239"/>
    </row>
    <row r="15" spans="1:19" s="137" customFormat="1" ht="12.75">
      <c r="A15" s="302"/>
      <c r="B15" s="302"/>
      <c r="C15" s="308"/>
      <c r="D15" s="303"/>
      <c r="E15" s="291"/>
      <c r="F15" s="304"/>
      <c r="G15" s="309"/>
      <c r="J15" s="138"/>
      <c r="K15" s="239"/>
      <c r="L15" s="239"/>
      <c r="M15" s="239"/>
      <c r="N15" s="239"/>
      <c r="O15" s="239"/>
      <c r="P15" s="239"/>
      <c r="Q15" s="239"/>
      <c r="R15" s="239"/>
      <c r="S15" s="239"/>
    </row>
    <row r="16" spans="1:19" s="137" customFormat="1" ht="12.75">
      <c r="A16" s="302"/>
      <c r="B16" s="302"/>
      <c r="C16" s="308"/>
      <c r="D16" s="303"/>
      <c r="E16" s="291"/>
      <c r="F16" s="304"/>
      <c r="G16" s="309"/>
      <c r="J16" s="138"/>
      <c r="K16" s="239"/>
      <c r="L16" s="239"/>
      <c r="M16" s="239" t="s">
        <v>35</v>
      </c>
      <c r="N16" s="239"/>
      <c r="O16" s="239"/>
      <c r="P16" s="239"/>
      <c r="Q16" s="239"/>
      <c r="R16" s="239"/>
      <c r="S16" s="239"/>
    </row>
    <row r="17" spans="1:10" ht="11.25" customHeight="1">
      <c r="A17" s="115"/>
      <c r="B17" s="115"/>
      <c r="C17" s="115"/>
      <c r="D17" s="115"/>
      <c r="E17" s="115"/>
      <c r="F17" s="115"/>
      <c r="G17" s="115"/>
      <c r="J17" s="95">
        <f aca="true" t="shared" si="0" ref="J17:J24">F17*1.2247</f>
        <v>0</v>
      </c>
    </row>
    <row r="18" spans="1:10" ht="11.25" customHeight="1">
      <c r="A18" s="115"/>
      <c r="B18" s="574"/>
      <c r="C18" s="574"/>
      <c r="D18" s="115"/>
      <c r="E18" s="574" t="s">
        <v>531</v>
      </c>
      <c r="F18" s="574"/>
      <c r="G18" s="115"/>
      <c r="J18" s="95">
        <f t="shared" si="0"/>
        <v>0</v>
      </c>
    </row>
    <row r="19" spans="1:10" ht="12.75">
      <c r="A19" s="148"/>
      <c r="B19" s="672" t="s">
        <v>182</v>
      </c>
      <c r="C19" s="672"/>
      <c r="D19" s="148"/>
      <c r="E19" s="620" t="s">
        <v>75</v>
      </c>
      <c r="F19" s="620"/>
      <c r="G19" s="148"/>
      <c r="J19" s="95">
        <f t="shared" si="0"/>
        <v>0</v>
      </c>
    </row>
    <row r="20" spans="1:10" ht="12.75">
      <c r="A20" s="59"/>
      <c r="B20" s="59"/>
      <c r="C20" s="85"/>
      <c r="D20" s="59"/>
      <c r="E20" s="59"/>
      <c r="F20" s="59"/>
      <c r="G20" s="59"/>
      <c r="J20" s="95">
        <f t="shared" si="0"/>
        <v>0</v>
      </c>
    </row>
    <row r="21" spans="1:10" ht="12.75">
      <c r="A21" s="59"/>
      <c r="B21" s="59"/>
      <c r="C21" s="85"/>
      <c r="D21" s="59"/>
      <c r="E21" s="59"/>
      <c r="F21" s="59"/>
      <c r="G21" s="59"/>
      <c r="J21" s="95">
        <f t="shared" si="0"/>
        <v>0</v>
      </c>
    </row>
    <row r="22" spans="1:10" ht="11.25" customHeight="1">
      <c r="A22" s="115"/>
      <c r="B22" s="574"/>
      <c r="C22" s="574"/>
      <c r="D22" s="115"/>
      <c r="E22" s="587"/>
      <c r="F22" s="587"/>
      <c r="G22" s="115"/>
      <c r="J22" s="95">
        <f t="shared" si="0"/>
        <v>0</v>
      </c>
    </row>
    <row r="23" spans="1:10" ht="12.75">
      <c r="A23" s="148"/>
      <c r="B23" s="672" t="s">
        <v>76</v>
      </c>
      <c r="C23" s="672"/>
      <c r="D23" s="148"/>
      <c r="E23" s="620"/>
      <c r="F23" s="620"/>
      <c r="G23" s="148"/>
      <c r="J23" s="95">
        <f t="shared" si="0"/>
        <v>0</v>
      </c>
    </row>
    <row r="24" ht="12" customHeight="1">
      <c r="J24" s="95">
        <f t="shared" si="0"/>
        <v>0</v>
      </c>
    </row>
    <row r="25" ht="11.25" customHeight="1"/>
    <row r="26" ht="12" customHeight="1"/>
    <row r="27" ht="13.5" customHeight="1"/>
    <row r="28" ht="4.5" customHeight="1"/>
  </sheetData>
  <sheetProtection/>
  <mergeCells count="16">
    <mergeCell ref="A1:B1"/>
    <mergeCell ref="C1:G1"/>
    <mergeCell ref="A2:G2"/>
    <mergeCell ref="A3:G3"/>
    <mergeCell ref="A5:D5"/>
    <mergeCell ref="E5:G5"/>
    <mergeCell ref="B22:C22"/>
    <mergeCell ref="E22:F22"/>
    <mergeCell ref="B23:C23"/>
    <mergeCell ref="E23:F23"/>
    <mergeCell ref="A6:G6"/>
    <mergeCell ref="A7:G7"/>
    <mergeCell ref="B18:C18"/>
    <mergeCell ref="E18:F18"/>
    <mergeCell ref="B19:C19"/>
    <mergeCell ref="E19:F19"/>
  </mergeCells>
  <printOptions horizontalCentered="1"/>
  <pageMargins left="0.3937007874015748" right="0.3937007874015748" top="0.3937007874015748" bottom="0.3937007874015748" header="0" footer="0"/>
  <pageSetup horizontalDpi="360" verticalDpi="360" orientation="portrait" paperSize="9" scale="73" r:id="rId2"/>
  <headerFooter alignWithMargins="0">
    <oddHeader>&amp;R
 &amp;P de &amp;N</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Caixa Econômica Federal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erikas</dc:creator>
  <cp:keywords/>
  <dc:description/>
  <cp:lastModifiedBy>Usuário do Windows</cp:lastModifiedBy>
  <cp:lastPrinted>2023-08-11T16:20:04Z</cp:lastPrinted>
  <dcterms:created xsi:type="dcterms:W3CDTF">1998-10-30T18:34:56Z</dcterms:created>
  <dcterms:modified xsi:type="dcterms:W3CDTF">2023-08-17T16:13:10Z</dcterms:modified>
  <cp:category/>
  <cp:version/>
  <cp:contentType/>
  <cp:contentStatus/>
</cp:coreProperties>
</file>