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65428" yWindow="65428" windowWidth="23256" windowHeight="12456" tabRatio="1000" firstSheet="2" activeTab="1"/>
  </bookViews>
  <sheets>
    <sheet name="MEMÓRIA DE CÁLCULO" sheetId="1" r:id="rId1"/>
    <sheet name="Planilha" sheetId="2" r:id="rId2"/>
    <sheet name="Composição BDI" sheetId="3" r:id="rId3"/>
    <sheet name="Cronograma Físico-Financeiro" sheetId="4" r:id="rId4"/>
    <sheet name="ADMINISTRAÇÃO LOCAL" sheetId="5" state="hidden" r:id="rId5"/>
    <sheet name="COMPOSIÇÃO_COBERTURA" sheetId="6" r:id="rId6"/>
    <sheet name="COMPOSIÇÃO_TRINCA" sheetId="7" r:id="rId7"/>
  </sheets>
  <externalReferences>
    <externalReference r:id="rId10"/>
  </externalReferences>
  <definedNames>
    <definedName name="_xlnm.Print_Area" localSheetId="2">'Composição BDI'!$A$1:$E$24</definedName>
    <definedName name="_xlnm.Print_Area" localSheetId="5">'COMPOSIÇÃO_COBERTURA'!$A$1:$H$23</definedName>
    <definedName name="_xlnm.Print_Area" localSheetId="6">'COMPOSIÇÃO_TRINCA'!$A$1:$H$23</definedName>
    <definedName name="_xlnm.Print_Area" localSheetId="3">'Cronograma Físico-Financeiro'!$A$1:$J$55</definedName>
    <definedName name="_xlnm.Print_Area" localSheetId="0">'MEMÓRIA DE CÁLCULO'!$A$1:$G$1146</definedName>
    <definedName name="_xlnm.Print_Area" localSheetId="1">'Planilha'!$A$1:$H$134</definedName>
    <definedName name="AreaTeste" localSheetId="5">#REF!</definedName>
    <definedName name="AreaTeste" localSheetId="6">#REF!</definedName>
    <definedName name="AreaTeste">#REF!</definedName>
    <definedName name="AreaTeste2" localSheetId="5">#REF!</definedName>
    <definedName name="AreaTeste2" localSheetId="6">#REF!</definedName>
    <definedName name="AreaTeste2">#REF!</definedName>
    <definedName name="CélulaInicioPlanilha" localSheetId="5">#REF!</definedName>
    <definedName name="CélulaInicioPlanilha" localSheetId="6">#REF!</definedName>
    <definedName name="CélulaInicioPlanilha">#REF!</definedName>
    <definedName name="CélulaResumo" localSheetId="5">#REF!</definedName>
    <definedName name="CélulaResumo" localSheetId="6">#REF!</definedName>
    <definedName name="CélulaResumo">#REF!</definedName>
    <definedName name="Costuratrinca">#REF!</definedName>
    <definedName name="Excel_BuiltIn__FilterDatabase">"$#REF!.$B$8:$M$9"</definedName>
    <definedName name="Excel_BuiltIn__FilterDatabase_1">"$#REF!.$A$1:$F$5248"</definedName>
    <definedName name="Excel_BuiltIn__FilterDatabase_2" localSheetId="5">#REF!</definedName>
    <definedName name="Excel_BuiltIn__FilterDatabase_2" localSheetId="6">#REF!</definedName>
    <definedName name="Excel_BuiltIn__FilterDatabase_2">#REF!</definedName>
    <definedName name="Excel_BuiltIn__FilterDatabase_4">NA()</definedName>
    <definedName name="Excel_BuiltIn__FilterDatabase_4_1">"$#REF!.$#REF!$#REF!:$#REF!$#REF!"</definedName>
    <definedName name="Excel_BuiltIn__FilterDatabase_5">NA()</definedName>
    <definedName name="Excel_BuiltIn__FilterDatabase_6">"$#REF!.$A$1:$B$3278"</definedName>
    <definedName name="Excel_BuiltIn__FilterDatabase_6_1">NA()</definedName>
    <definedName name="Excel_BuiltIn_Print_Area">"$#REF!.$B$1:$N$9"</definedName>
    <definedName name="Excel_BuiltIn_Print_Area_1" localSheetId="5">#REF!</definedName>
    <definedName name="Excel_BuiltIn_Print_Area_1" localSheetId="6">#REF!</definedName>
    <definedName name="Excel_BuiltIn_Print_Area_1">#REF!</definedName>
    <definedName name="Excel_BuiltIn_Print_Area_3" localSheetId="5">#REF!</definedName>
    <definedName name="Excel_BuiltIn_Print_Area_3" localSheetId="6">#REF!</definedName>
    <definedName name="Excel_BuiltIn_Print_Area_3">#REF!</definedName>
    <definedName name="Excel_BuiltIn_Print_Area_5" localSheetId="5">#REF!</definedName>
    <definedName name="Excel_BuiltIn_Print_Area_5" localSheetId="6">#REF!</definedName>
    <definedName name="Excel_BuiltIn_Print_Area_5">#REF!</definedName>
    <definedName name="Excel_BuiltIn_Print_Titles">"$#REF!.$A$1:$AMJ$9"</definedName>
    <definedName name="Excel_BuiltIn_Print_Titles_1" localSheetId="5">#REF!</definedName>
    <definedName name="Excel_BuiltIn_Print_Titles_1" localSheetId="6">#REF!</definedName>
    <definedName name="Excel_BuiltIn_Print_Titles_1">#REF!</definedName>
    <definedName name="_xlnm.Print_Titles" localSheetId="5">'COMPOSIÇÃO_COBERTURA'!$1:$8</definedName>
    <definedName name="_xlnm.Print_Titles" localSheetId="6">'COMPOSIÇÃO_TRINCA'!$1:$8</definedName>
    <definedName name="_xlnm.Print_Titles" localSheetId="1">'Planilha'!$1:$10</definedName>
  </definedNames>
  <calcPr fullCalcOnLoad="1" fullPrecision="0"/>
</workbook>
</file>

<file path=xl/sharedStrings.xml><?xml version="1.0" encoding="utf-8"?>
<sst xmlns="http://schemas.openxmlformats.org/spreadsheetml/2006/main" count="1937" uniqueCount="637">
  <si>
    <t>SINAPI</t>
  </si>
  <si>
    <t>SERVIÇOS PRELIMINARES</t>
  </si>
  <si>
    <t>TOTAL</t>
  </si>
  <si>
    <t>ESQUADRIAS</t>
  </si>
  <si>
    <t>COBERTURA</t>
  </si>
  <si>
    <t>PINTURA</t>
  </si>
  <si>
    <t>Descrição</t>
  </si>
  <si>
    <t>Quantidade Total</t>
  </si>
  <si>
    <t>R$ Total</t>
  </si>
  <si>
    <t>ADMINISTRAÇÃO LOCAL (ADOTADA)</t>
  </si>
  <si>
    <t>A EMPRESA LICITANTE DEVERÁ ELABORAR A COMPOSIÇÃO DA ADMINISTRAÇÃO LOCAL PROPOSTA</t>
  </si>
  <si>
    <t>OBS.: O VALOR TOTAL DE ADM. LOCAL DEVERÁ SER DE ATÉ 5% DO VALOR TOTAL DA OBRA PROPOSTA</t>
  </si>
  <si>
    <t>cód.</t>
  </si>
  <si>
    <t>Referência</t>
  </si>
  <si>
    <t>Hora/Mês</t>
  </si>
  <si>
    <t>R$/Hora</t>
  </si>
  <si>
    <t>ADMINISTRAÇÃO LOCAL (PROPOSTA)</t>
  </si>
  <si>
    <t>Engenheiro/Arquiteto Junior de Acompanhamento de obra</t>
  </si>
  <si>
    <t>1.1</t>
  </si>
  <si>
    <t>M2</t>
  </si>
  <si>
    <t>Local</t>
  </si>
  <si>
    <t>Largura (m)</t>
  </si>
  <si>
    <t>Altura (m)</t>
  </si>
  <si>
    <t>Área (m²)</t>
  </si>
  <si>
    <t>Quantidade</t>
  </si>
  <si>
    <t>M</t>
  </si>
  <si>
    <t>Comprimento (m)</t>
  </si>
  <si>
    <t>4.1</t>
  </si>
  <si>
    <t>6.1</t>
  </si>
  <si>
    <t>8.1</t>
  </si>
  <si>
    <t xml:space="preserve">un  </t>
  </si>
  <si>
    <t>JANELAS</t>
  </si>
  <si>
    <t xml:space="preserve">                                                                                                                                                                                    </t>
  </si>
  <si>
    <t>5.1</t>
  </si>
  <si>
    <t>1.2</t>
  </si>
  <si>
    <t>Metros (m)</t>
  </si>
  <si>
    <t xml:space="preserve"> </t>
  </si>
  <si>
    <t>Inclinação</t>
  </si>
  <si>
    <t>5.2</t>
  </si>
  <si>
    <t>VERGA PRÉ-MOLDADA PARA JANELAS COM ATÉ 1,5 M DE VÃO. AF_03/2016</t>
  </si>
  <si>
    <t>CONTRAVERGA PRÉ-MOLDADA PARA VÃOS DE ATÉ 1,5 M DE COMPRIMENTO. AF_03/2016</t>
  </si>
  <si>
    <t>VERGA PRÉ-MOLDADA PARA PORTAS COM ATÉ 1,5 M DE VÃO. AF_03/2016</t>
  </si>
  <si>
    <t>PINTURA ACRÍLICA EM PAREDE, DUAS (2) DEMÃOS, EXCLUSIVE SELADOR ACRÍLICO E MASSA ACRÍLICA/CORRIDA (PVA)</t>
  </si>
  <si>
    <t>LOUÇAS, BANCADAS, ACESSÓRIOS E METAIS</t>
  </si>
  <si>
    <t>BACIA SANITÁRIA (VASO) DE LOUÇA CONVENCIONAL, COR BRANCA, INCLUSIVE ACESSÓRIOS DE FIXAÇÃO/VEDAÇÃO, VÁLVULA DE DESCARGA METÁLICA COM ACIONAMENTO DUPLO, TUBO DE LIGAÇÃO DE LATÃO COM CANOPLA, FORNECIMENTO, INSTALAÇÃO E REJUNTAMENTO</t>
  </si>
  <si>
    <t>PUXADOR PARA PCD, FIXADO NA PORTA - FORNECIMENTO E INSTALAÇÃO. AF_01/2020</t>
  </si>
  <si>
    <t>PINTURA ESMALTE EM ESQUADRIAS DE FERRO, DUAS (2) DEMÃOS, INCLUSIVE UMA (1) DEMÃO DE FUNDO ANTICORROSIVO</t>
  </si>
  <si>
    <t>3.1</t>
  </si>
  <si>
    <t>3.3</t>
  </si>
  <si>
    <t>3.4</t>
  </si>
  <si>
    <t>3.5</t>
  </si>
  <si>
    <t>3.6</t>
  </si>
  <si>
    <t>4.2</t>
  </si>
  <si>
    <t>4.4</t>
  </si>
  <si>
    <t>7.0</t>
  </si>
  <si>
    <t>8.0</t>
  </si>
  <si>
    <t>9.0</t>
  </si>
  <si>
    <t>11.1</t>
  </si>
  <si>
    <t>11.2</t>
  </si>
  <si>
    <t>MEMÓRIA DE CÁLCULO</t>
  </si>
  <si>
    <t>CHAPISCO COM ARGAMASSA, TRAÇO 1:3 (CIMENTO E AREIA), ESP. 5MM, APLICADO EM ALVENARIA/ESTRUTURA DE CONCRETO COM COLHER</t>
  </si>
  <si>
    <t xml:space="preserve">Sanitários </t>
  </si>
  <si>
    <t>Sanitários</t>
  </si>
  <si>
    <t>ALVENARIA DE VEDAÇÃO DE BLOCOS CERÂMICOS FURADOS NA VERTICAL DE 9X19X39 CM (ESPESSURA 9 CM) E ARGAMASSA DE ASSENTAMENTO COM PREPARO MANUAL.</t>
  </si>
  <si>
    <t>PISO</t>
  </si>
  <si>
    <t>PONTO DE EMBUTIR PARA ÁGUA FRIA EM TUBO DE PVC RÍGIDO SOLDÁVEL, DN 20MM (1/2"), EMBUTIDO NA ALVENARIA COM DISTÂNCIA DE ATÉ CINCO (5) METROS DA TOMADA DE ÁGUA, INCLUSIVE CONEXÕES E FIXAÇÃO DO TUBO COM ENCHIMENTO DO RASGO NA ALVENARIA/CONCRETO COM ARGAMASSA</t>
  </si>
  <si>
    <t>Sanitários lavatórios</t>
  </si>
  <si>
    <t>REVESTIMENTOS</t>
  </si>
  <si>
    <t xml:space="preserve">INSTALAÇÃO HIDRO-SANITARIAS </t>
  </si>
  <si>
    <t>SUBTOTAL</t>
  </si>
  <si>
    <t>2.1</t>
  </si>
  <si>
    <t>3.2</t>
  </si>
  <si>
    <t>4.3</t>
  </si>
  <si>
    <t>4.5</t>
  </si>
  <si>
    <t>5.3</t>
  </si>
  <si>
    <t>7.1</t>
  </si>
  <si>
    <t>7.3</t>
  </si>
  <si>
    <t>9.1</t>
  </si>
  <si>
    <t>10.1</t>
  </si>
  <si>
    <t>10.2</t>
  </si>
  <si>
    <t>10.3</t>
  </si>
  <si>
    <t>10.4</t>
  </si>
  <si>
    <t>11.3</t>
  </si>
  <si>
    <t>11.4</t>
  </si>
  <si>
    <t>12.1</t>
  </si>
  <si>
    <t>12.2</t>
  </si>
  <si>
    <t>12.3</t>
  </si>
  <si>
    <t>CAU-MG</t>
  </si>
  <si>
    <t>Robson Adalberto Mota Dias - Prefeito Municipal de Coração de Jesus</t>
  </si>
  <si>
    <t>PLANILHA ORÇAMENTÁRIA DE CUSTOS</t>
  </si>
  <si>
    <t xml:space="preserve">FORMA DE EXECUÇÃO: </t>
  </si>
  <si>
    <t>(    )</t>
  </si>
  <si>
    <t>DIRETA</t>
  </si>
  <si>
    <t>(  x  )</t>
  </si>
  <si>
    <t>INDIRETA</t>
  </si>
  <si>
    <t>BDI</t>
  </si>
  <si>
    <t>ITEM</t>
  </si>
  <si>
    <t>CÓDIGO</t>
  </si>
  <si>
    <t>DESCRIÇÃO</t>
  </si>
  <si>
    <t>UNIDADE</t>
  </si>
  <si>
    <t>QUANTIDADE</t>
  </si>
  <si>
    <t>PREÇO UNITÁRIO S/ BDI</t>
  </si>
  <si>
    <t>PREÇO UNITÁRIO C/ BDI</t>
  </si>
  <si>
    <t>PREÇO TOTAL</t>
  </si>
  <si>
    <t>SUBTOTAL:</t>
  </si>
  <si>
    <t>FORNECIMENTO E COLOCAÇÃO DE PLACA DE OBRA EM CHAPA
GALVANIZADA (3,00 X 1,5 0 M) - EM CHAPA GALVANIZADA 0,26
AFIXADAS COM REBITES 540 E PARAFUSOS 3/8, EM ESTRUTURA
METÁLICA VIGA U 2" ENRIJECIDA COM METALON 20 X 20, SUPORTE EM EUCALIPTO AUTOCLAVADO PINTADAS</t>
  </si>
  <si>
    <t>UN</t>
  </si>
  <si>
    <t>M²</t>
  </si>
  <si>
    <t>M³</t>
  </si>
  <si>
    <t>ALVENARIAS</t>
  </si>
  <si>
    <t>ALVENARIA DE VEDAÇÃO DE BLOCOS CERÂMICOS FURADOS NA VERTICAL DE 14X19X39 CM (ESPESSURA 14 CM) E ARGAMASSA DE ASSENTAMENTO COM PREPARO MANUAL. AF_12/2021</t>
  </si>
  <si>
    <t>93182</t>
  </si>
  <si>
    <t>93194</t>
  </si>
  <si>
    <t>93184</t>
  </si>
  <si>
    <t>ED-51156</t>
  </si>
  <si>
    <t>VIDRO COMUM LISO INCOLOR, ESP. 4MM, INCLUSIVE FIXAÇÃO E VEDAÇÃO COM GUARNIÇÃO/GAXETA DE BORRACHA NEOPRENE, FORNECIMENTO E INSTALAÇÃO, EXCLUSIVE CAIXILHO/PERFIL</t>
  </si>
  <si>
    <t xml:space="preserve">REVESTIMENTOS </t>
  </si>
  <si>
    <t>7.2</t>
  </si>
  <si>
    <t>88485</t>
  </si>
  <si>
    <t>ED-50498</t>
  </si>
  <si>
    <t>ED-50491</t>
  </si>
  <si>
    <t>INSTALAÇÕES HIDROSSANITÁRIAS</t>
  </si>
  <si>
    <t>9.2</t>
  </si>
  <si>
    <t>9.3</t>
  </si>
  <si>
    <t>ED-50223</t>
  </si>
  <si>
    <t>PONTO DE EMBUTIR PARA ESGOTO EM TUBO PVC RÍGIDO, PB SÉRIE NORMAL, DN 40MM (1.1/2"), EMBUTIDO NA ALVENARIA/PISO, COM ALTURA (SAÍDA) DE 50CM DO PISO, COM DISTÂNCIA DE ATÉ CINCO (5) METROS DA RAMAL DE ESGOTO, EXCLUSIVE ESCAVAÇÃO, INCLUSIVE CONEXÕES E FIXAÇÃO DO TUBO COM ENCHIMENTO DO RASGO NA ALVENARIA/CONCRETO COM ARGAMASSA</t>
  </si>
  <si>
    <t>9.4</t>
  </si>
  <si>
    <t>ED-50225</t>
  </si>
  <si>
    <t>PONTO DE EMBUTIR PARA ESGOTO EM TUBO PVC RÍGIDO, PBV SÉRIE NORMAL, DN 100MM (4"), EMBUTIDO EM PISO COM DISTÂNCIA DE ATÉ CINCO (5) METROS DA RAMAL DE ESGOTO, INCLUSIVE CONEXÕES E FIXAÇÃO DO TUBO COM ENCHIMENTO DO RASGO NO CONCRETO COM ARGAMASSA</t>
  </si>
  <si>
    <t>ED-49871</t>
  </si>
  <si>
    <t>CAIXA DE ESGOTO DE INSPEÇÃO/PASSAGEM EM ALVENARIA ( 30X30X40CM), REVESTIMENTO EM ARGAMASSA COM ADITIVO IMPERMEABILIZANTE, COM TAMPA DE CONCRETO, INCLUSIVE ESCAVAÇÃO, REATERRO E TRANSPORTE E RETIRADA DO MATERIAL ESCAVADO (EM CAÇAMBA)</t>
  </si>
  <si>
    <t>ED-50298</t>
  </si>
  <si>
    <t>100872</t>
  </si>
  <si>
    <t>BARRA DE APOIO RETA, EM ALUMINIO, COMPRIMENTO 80 CM, FIXADA NA PAREDE - FORNECIMENTO E INSTALAÇÃO. AF_01/2020</t>
  </si>
  <si>
    <t>100874</t>
  </si>
  <si>
    <t>INSTALAÇÕES ELÉTRICAS</t>
  </si>
  <si>
    <t>11.5</t>
  </si>
  <si>
    <t>TOTAL GERAL DA OBRA</t>
  </si>
  <si>
    <t>CÁLCULO DE COMPOSIÇÃO DE BDI</t>
  </si>
  <si>
    <t>BDI (conforme Ácordão Nº 2622/13)- Construção e Reforma de Edifícios</t>
  </si>
  <si>
    <t>DISCRIMINAÇÃO DAS PARCELAS</t>
  </si>
  <si>
    <t>SIGLA</t>
  </si>
  <si>
    <t>ISS 5%</t>
  </si>
  <si>
    <t>Administração Central</t>
  </si>
  <si>
    <t>AC</t>
  </si>
  <si>
    <t>Lucro</t>
  </si>
  <si>
    <t>L</t>
  </si>
  <si>
    <t>Despesas Finaceiras</t>
  </si>
  <si>
    <t>DF</t>
  </si>
  <si>
    <t>Seguros</t>
  </si>
  <si>
    <t>S</t>
  </si>
  <si>
    <t>Garantias</t>
  </si>
  <si>
    <t>G</t>
  </si>
  <si>
    <t>Risco</t>
  </si>
  <si>
    <t>R</t>
  </si>
  <si>
    <t>Tributos</t>
  </si>
  <si>
    <t>I</t>
  </si>
  <si>
    <t>ISS</t>
  </si>
  <si>
    <t>PIS</t>
  </si>
  <si>
    <t>CONFINS</t>
  </si>
  <si>
    <t>FÓRMULA DO BDI =</t>
  </si>
  <si>
    <r>
      <t>(</t>
    </r>
    <r>
      <rPr>
        <b/>
        <u val="single"/>
        <sz val="10"/>
        <rFont val="Arial"/>
        <family val="2"/>
      </rPr>
      <t>1 + (AC + S + G + R)) x (1 + DF) x (1 + L)</t>
    </r>
  </si>
  <si>
    <t>(1 - (I + CPRB))</t>
  </si>
  <si>
    <t xml:space="preserve">BDI(numerador) = </t>
  </si>
  <si>
    <t xml:space="preserve">BDI(denominador) = </t>
  </si>
  <si>
    <t xml:space="preserve">BDI TOTAL = </t>
  </si>
  <si>
    <t>___________________________________________</t>
  </si>
  <si>
    <t>CRONOGRAMA FÍSICO-FINANCEIRO</t>
  </si>
  <si>
    <t>ETAPAS/DESCRIÇÃO</t>
  </si>
  <si>
    <t>FÍSICO/ FINANCEIRO</t>
  </si>
  <si>
    <t>TOTAL  ETAPAS</t>
  </si>
  <si>
    <t>MÊS 1</t>
  </si>
  <si>
    <t>MÊS 2</t>
  </si>
  <si>
    <t>MÊS 3</t>
  </si>
  <si>
    <t>MÊS 4</t>
  </si>
  <si>
    <t>MÊS 5</t>
  </si>
  <si>
    <t>MÊS 6</t>
  </si>
  <si>
    <t>Físico %</t>
  </si>
  <si>
    <t>Financeiro</t>
  </si>
  <si>
    <t>RUA NOZINHO PRATES</t>
  </si>
  <si>
    <t>RUA JOSE OLEGARIO L.</t>
  </si>
  <si>
    <t>RUA AMINTAS SALES</t>
  </si>
  <si>
    <t>RUA ÁLVARO AUGUSTO DE LÉLIS</t>
  </si>
  <si>
    <t>RUA FILOGONIO LAGOEIRO</t>
  </si>
  <si>
    <t>RUA JUCA DE QUEIROZ</t>
  </si>
  <si>
    <t>RUA FRANCISCO ANTUNES FERREIRA</t>
  </si>
  <si>
    <t>RUA JESUS CHATEUBRIAND</t>
  </si>
  <si>
    <t>REMOÇÕES E DEMOLIÇÕES</t>
  </si>
  <si>
    <t>97632</t>
  </si>
  <si>
    <t>DEMOLIÇÃO DE RODAPÉ CERÂMICO, DE FORMA MANUAL, SEM REAPROVEITAMENTO. AF_12/2017</t>
  </si>
  <si>
    <t>97633</t>
  </si>
  <si>
    <t>DEMOLIÇÃO DE REVESTIMENTO CERÂMICO, DE FORMA MANUAL, SEM REAPROVEITAMENTO. AF_12/2017</t>
  </si>
  <si>
    <t>OBRA: Reforma de Unidade Básica de Saude (UBS) - Luiz Pires de Minas</t>
  </si>
  <si>
    <t>REMOÇÃO DE JANELAS, DE FORMA MANUAL, SEM REAPROVEITAMENTO. AF_12/2017</t>
  </si>
  <si>
    <t>97645</t>
  </si>
  <si>
    <t>REGIÃO/MÊS DE REFERÊNCIA: SINAPI MG / NOVEMBRO DE 2022 - Não Desonerado - SETOP NORTE / OUTUBRO DE 2022</t>
  </si>
  <si>
    <t>97663</t>
  </si>
  <si>
    <t>DEMOLIÇÃO DE ALVENARIA DE BLOCO FURADO, DE FORMA MANUAL, SEM REAPROVEITAMENTO. AF_12/2017</t>
  </si>
  <si>
    <t>Vanessa Santos Fonseca - Arquiteta e Urbanista</t>
  </si>
  <si>
    <t>A1697007</t>
  </si>
  <si>
    <t>ADMINISTRAÇÃO LOCAL</t>
  </si>
  <si>
    <t>ENGENHEIRO CIVIL DE OBRA JUNIOR COM ENCARGOS COMPLEMENTARES</t>
  </si>
  <si>
    <t>H</t>
  </si>
  <si>
    <t>ENCARREGADO GERAL COM ENCARGOS COMPLEMENTARES</t>
  </si>
  <si>
    <t>LOCAL: Luiz Pires de Minas - Coração de Jesus - MG</t>
  </si>
  <si>
    <t>ED-28427</t>
  </si>
  <si>
    <t>3.7</t>
  </si>
  <si>
    <t>3.8</t>
  </si>
  <si>
    <t>103325</t>
  </si>
  <si>
    <t>3.9</t>
  </si>
  <si>
    <t>97640</t>
  </si>
  <si>
    <t>REMOÇÃO DE FORROS DE DRYWALL, PVC E FIBROMINERAL, DE FORMA MANUAL, SEM REAPROVEITAMENTO. AF_12/2017</t>
  </si>
  <si>
    <t>97642</t>
  </si>
  <si>
    <t>3.10</t>
  </si>
  <si>
    <t>REMOÇÃO DE TRAMA METÁLICA OU DE MADEIRA PARA FORRO, DE FORMA MANUAL, SEM REAPROVEITAMENTO. AF_12/2017</t>
  </si>
  <si>
    <t>ED-48514</t>
  </si>
  <si>
    <t>ED.48437</t>
  </si>
  <si>
    <t>Altura(m)</t>
  </si>
  <si>
    <t>Volume(M³)</t>
  </si>
  <si>
    <t>Recepção</t>
  </si>
  <si>
    <t>Espessura(M)</t>
  </si>
  <si>
    <t>PNE</t>
  </si>
  <si>
    <t>Desconto vão (M²)</t>
  </si>
  <si>
    <t>Vacina</t>
  </si>
  <si>
    <t>Ginecologia</t>
  </si>
  <si>
    <t>Procedimentos</t>
  </si>
  <si>
    <t>Copa</t>
  </si>
  <si>
    <t>Lado B (M)</t>
  </si>
  <si>
    <t>Perímetro M</t>
  </si>
  <si>
    <t>Expurgo</t>
  </si>
  <si>
    <t>Esterelização</t>
  </si>
  <si>
    <t>Médico</t>
  </si>
  <si>
    <t>Sala de reunião</t>
  </si>
  <si>
    <t>Arquivo</t>
  </si>
  <si>
    <t>Curativo</t>
  </si>
  <si>
    <t>Almoxarifado</t>
  </si>
  <si>
    <t>Circulação 1</t>
  </si>
  <si>
    <t>Circulação 2</t>
  </si>
  <si>
    <t>Comprimento (M)</t>
  </si>
  <si>
    <t>Medico</t>
  </si>
  <si>
    <t>Sala de Reunião</t>
  </si>
  <si>
    <t>Circulção 1</t>
  </si>
  <si>
    <t>Circulção 2</t>
  </si>
  <si>
    <t>Pne</t>
  </si>
  <si>
    <t>Banheiro Funcionários</t>
  </si>
  <si>
    <t>Largura (M)</t>
  </si>
  <si>
    <t>Área (M²)</t>
  </si>
  <si>
    <t>REVESTIMENTO</t>
  </si>
  <si>
    <t>Desconto (M²)</t>
  </si>
  <si>
    <t>Altura (M)</t>
  </si>
  <si>
    <t>Varanda 1</t>
  </si>
  <si>
    <t>Varanda 2</t>
  </si>
  <si>
    <t>Lado A (M)</t>
  </si>
  <si>
    <t>Vaso Sanitário</t>
  </si>
  <si>
    <t>Banheiro funcionários Lado A</t>
  </si>
  <si>
    <t>Banheiro funcionários Lado B</t>
  </si>
  <si>
    <t xml:space="preserve">97666 </t>
  </si>
  <si>
    <t>REMOÇÃO DE METAIS SANITÁRIOS, DE FORMA MANUAL, SEM REAPROVEITAMENTO. AF_12/2017</t>
  </si>
  <si>
    <t>REMOÇÃO DE LOUÇAS, DE FORMA MANUAL, SEM REAPROVEITAMENTO. AF_12/2017. LAVATÓRIO E VASO</t>
  </si>
  <si>
    <t>Lavatório</t>
  </si>
  <si>
    <t>Torneira</t>
  </si>
  <si>
    <t>Chuveiro</t>
  </si>
  <si>
    <t>Registro</t>
  </si>
  <si>
    <t>Cobertura</t>
  </si>
  <si>
    <t>Beiral</t>
  </si>
  <si>
    <t>Àrea (M²)</t>
  </si>
  <si>
    <t>Fator de Incl.</t>
  </si>
  <si>
    <t xml:space="preserve">TOTAL </t>
  </si>
  <si>
    <t>Lado A (m)</t>
  </si>
  <si>
    <t>Banheiros</t>
  </si>
  <si>
    <t>DML</t>
  </si>
  <si>
    <t>Procedimentos/Curativo</t>
  </si>
  <si>
    <t xml:space="preserve">ALVENARIA </t>
  </si>
  <si>
    <t xml:space="preserve">Banheiros </t>
  </si>
  <si>
    <t>Sala de espera</t>
  </si>
  <si>
    <t>Triagem</t>
  </si>
  <si>
    <t>Banheiros Parede A</t>
  </si>
  <si>
    <t>Banheiros Parede B</t>
  </si>
  <si>
    <t xml:space="preserve">PNE </t>
  </si>
  <si>
    <t xml:space="preserve">87878 </t>
  </si>
  <si>
    <t>CHAPISCO APLICADO EM ALVENARIAS E ESTRUTURAS DE CONCRETO INTERNAS, COM COLHER DE PEDREIRO. ARGAMASSA TRAÇO 1:3 COM PREPARO MANUAL. AF_10/20</t>
  </si>
  <si>
    <t>7.4</t>
  </si>
  <si>
    <t>Banheiros Parede Externa</t>
  </si>
  <si>
    <t>Banheiros - Lado A</t>
  </si>
  <si>
    <t>Banheiros - Lado B</t>
  </si>
  <si>
    <t>PNE Lado A</t>
  </si>
  <si>
    <t>PNE Lado B</t>
  </si>
  <si>
    <t>Lavanderia</t>
  </si>
  <si>
    <t>7.5</t>
  </si>
  <si>
    <t xml:space="preserve">96121 </t>
  </si>
  <si>
    <t>ACABAMENTOS PARA FORRO (RODA-FORRO EM PERFIL METÁLICO E PLÁSTICO). AF_ 05/2017</t>
  </si>
  <si>
    <t>Banheiro 1</t>
  </si>
  <si>
    <t>Banheiro 2</t>
  </si>
  <si>
    <t>Circulação 3</t>
  </si>
  <si>
    <t>Circulação 4</t>
  </si>
  <si>
    <t>Lado B (m)</t>
  </si>
  <si>
    <t>Perímetro (M)</t>
  </si>
  <si>
    <t>Muro</t>
  </si>
  <si>
    <t>Empena</t>
  </si>
  <si>
    <t>PNE parede A</t>
  </si>
  <si>
    <t xml:space="preserve">Almoxarifado </t>
  </si>
  <si>
    <t>10.0</t>
  </si>
  <si>
    <t>ED-50505</t>
  </si>
  <si>
    <t>LIXAMENTO MANUAL EM PAREDE PARA REMOÇÃO DE TINTA</t>
  </si>
  <si>
    <t>ED-48344</t>
  </si>
  <si>
    <t>BANCADA EM GRANITO CINZA ANDORINHA E = 3 CM, APOIADA EM
ALVENARIA</t>
  </si>
  <si>
    <t>Bancada recepção</t>
  </si>
  <si>
    <t xml:space="preserve">Muro </t>
  </si>
  <si>
    <t xml:space="preserve">          </t>
  </si>
  <si>
    <t>Telhado</t>
  </si>
  <si>
    <t xml:space="preserve">ED-50508 </t>
  </si>
  <si>
    <t>Fisioterapia</t>
  </si>
  <si>
    <t>ED-50983</t>
  </si>
  <si>
    <t>PORTÃO DE GRADE COLOCADO COM CADEADO</t>
  </si>
  <si>
    <t>87249</t>
  </si>
  <si>
    <t>REVESTIMENTO CERÂMICO PARA PISO COM PLACAS TIPO ESMALTADA EXTRA DE DIMENSÕES 45X45 CM APLICADA EM AMBIENTES DE ÁREA MENOR QUE 5 M2. AF_06/20</t>
  </si>
  <si>
    <t>8.2</t>
  </si>
  <si>
    <t>8.3</t>
  </si>
  <si>
    <t>87250</t>
  </si>
  <si>
    <t>REVESTIMENTO CERÂMICO PARA PISO COM PLACAS TIPO ESMALTADA EXTRA DE ENSÕES 45X45 CM APLICADA EM AMBIENTES DE ÁREA ENTRE 5 M2 E 10 M2. AF_06/2014</t>
  </si>
  <si>
    <t>87251</t>
  </si>
  <si>
    <t>REVESTIMENTO CERÂMICO PARA PISO COM PLACAS TIPO ESMALTADA EXTRA DE DIMENSÕES 45X45 CM APLICADA EM AMBIENTES DE ÁREA MAIOR QUE 10 M2. AF_06/2014</t>
  </si>
  <si>
    <t>88649</t>
  </si>
  <si>
    <t>Composição</t>
  </si>
  <si>
    <t>COMPOSIÇÃO ANALÍTICA</t>
  </si>
  <si>
    <t xml:space="preserve">PREÇO UNITÁRIO </t>
  </si>
  <si>
    <t>COEFICIENTE</t>
  </si>
  <si>
    <t>CUSTO TOTAL</t>
  </si>
  <si>
    <t>TELHAMENTO COM TELHA CERÂMICA CAPA-CANAL, TIPO COLONIAL, COM ATÉ 2 ÁGUAS,INCLUSO TRANSPORTE VERTICAL. AF_07/2019</t>
  </si>
  <si>
    <t>SERVENTE COM ENCARGOS COMPLEMENTARES</t>
  </si>
  <si>
    <t>TELHADISTA COM ENCARGOS COMPLEMENTARES</t>
  </si>
  <si>
    <t>GUINCHO ELÉTRICO DE COLUNA, CAPACIDADE 400 KG, COM MOTO FREIO, MOTOR TRIFÁ</t>
  </si>
  <si>
    <t>GUINCHO ELÉTRICO DE COLUNA, CAPACIDADE 400 KG, COM MOTO FREIO, MOTOR TRIFÁSICO DE 1,25 CV - CHP DIURNO. AF_03/2016</t>
  </si>
  <si>
    <t>CHP</t>
  </si>
  <si>
    <t>1.3</t>
  </si>
  <si>
    <t>1.4</t>
  </si>
  <si>
    <t>CHI</t>
  </si>
  <si>
    <t>Grade muro</t>
  </si>
  <si>
    <t xml:space="preserve">07173  </t>
  </si>
  <si>
    <t>TELHA DE BARRO / CERAMICA, NAO ESMALTADA, TIPO COLONIAL, CANAL, PLAN, PAULISTA COMPRIMENTO DE *44 A 50* CM, RENDIMENTO DE COBERTURA DE *26* TELHAS/M2</t>
  </si>
  <si>
    <t>6.2</t>
  </si>
  <si>
    <t>87530</t>
  </si>
  <si>
    <t xml:space="preserve">87532  </t>
  </si>
  <si>
    <t>Tanque</t>
  </si>
  <si>
    <t xml:space="preserve">86906 </t>
  </si>
  <si>
    <t>86913</t>
  </si>
  <si>
    <t>TORNEIRA CROMADA DE MESA, 1/2 OU 3/4, PARA LAVATÓRIO, PADRÃO POPULAR FORNECIMENTO E INSTALAÇÃO. AF_01/2020</t>
  </si>
  <si>
    <t>TORNEIRA CROMADA 1/2 OU 3/4 PARA TANQUE, PADRÃO POPULAR - FORNECIMENTO E INSTALAÇÃO. AF_01/2020</t>
  </si>
  <si>
    <t xml:space="preserve">90791 </t>
  </si>
  <si>
    <t xml:space="preserve">97644 </t>
  </si>
  <si>
    <t>REMOÇÃO DE PORTAS, DE FORMA MANUAL, SEM REAPROVEITAMENTO. AF_12/2017</t>
  </si>
  <si>
    <t>Banheiro funcionários</t>
  </si>
  <si>
    <t>5.4</t>
  </si>
  <si>
    <t>Quantitdade</t>
  </si>
  <si>
    <t>q</t>
  </si>
  <si>
    <t>ED-50301</t>
  </si>
  <si>
    <t>ED-9156</t>
  </si>
  <si>
    <t xml:space="preserve">100860 </t>
  </si>
  <si>
    <t>CHUVEIRO ELÉTRICO COMUM CORPO PLÁSTICO, TIPO DUCHA FORNECIMENTO E INSTALAÇÃO. AF_01/2020</t>
  </si>
  <si>
    <t xml:space="preserve">Local </t>
  </si>
  <si>
    <t>Altura(M)</t>
  </si>
  <si>
    <t>Banheiro parede interna A</t>
  </si>
  <si>
    <t>Banheiros Parede interna B</t>
  </si>
  <si>
    <t>ED-50495</t>
  </si>
  <si>
    <t>Grade Muro</t>
  </si>
  <si>
    <t>ED-50532</t>
  </si>
  <si>
    <t>Banheiro  1</t>
  </si>
  <si>
    <t>Porta sala de espera</t>
  </si>
  <si>
    <t>CONSUMO</t>
  </si>
  <si>
    <t xml:space="preserve">CUSTO UNITÁRIO </t>
  </si>
  <si>
    <t xml:space="preserve">ED50381 </t>
  </si>
  <si>
    <t xml:space="preserve">ED48303 </t>
  </si>
  <si>
    <t xml:space="preserve">ED50367 </t>
  </si>
  <si>
    <t xml:space="preserve">MATED8357 </t>
  </si>
  <si>
    <t>KG</t>
  </si>
  <si>
    <t xml:space="preserve">ED-28728 </t>
  </si>
  <si>
    <t>ED-8004</t>
  </si>
  <si>
    <t>97589</t>
  </si>
  <si>
    <t xml:space="preserve">104475 </t>
  </si>
  <si>
    <t>Prodedimento/ Curativo</t>
  </si>
  <si>
    <t>Sala de reuniões</t>
  </si>
  <si>
    <t xml:space="preserve">Lavanderia </t>
  </si>
  <si>
    <t xml:space="preserve">Copa </t>
  </si>
  <si>
    <t xml:space="preserve">Sala de espera </t>
  </si>
  <si>
    <t xml:space="preserve">Vacina </t>
  </si>
  <si>
    <t xml:space="preserve">102183 </t>
  </si>
  <si>
    <t>PONTO DE CONSUMO TERMINAL DE ÁGUA FRIA (SUBRAMAL) COM TUBULAÇÃO DE PVC, DN 25 MM, INSTALADO EM RAMAL DE ÁGUA, INCLUSOS RASGO E CHUMBAMENTO E
 M ALVENARIA. AF_12/2014</t>
  </si>
  <si>
    <t>91788</t>
  </si>
  <si>
    <t>Quantidade (M)</t>
  </si>
  <si>
    <t xml:space="preserve">Médico </t>
  </si>
  <si>
    <t xml:space="preserve">Fisioterapia </t>
  </si>
  <si>
    <t>LUMINÁRIA TIPO PLAFON EM PLÁSTICO, DE SOBREPOR, COM 1 LÂMPADA FLUORESCENTE DE 15 W, SEM REATOR - FORNECIMENTO E INSTALAÇÃO. AF_02/2020</t>
  </si>
  <si>
    <t>RODAPÉ CERÂMICO DE 7CM DE ALTURA COM PLACAS TIPO ESMALTADA EXTRA DE DIMENSÕES 45X45CM. AF_06/2014</t>
  </si>
  <si>
    <t xml:space="preserve">ED-50478 </t>
  </si>
  <si>
    <t>ED-50703</t>
  </si>
  <si>
    <t>2.2</t>
  </si>
  <si>
    <t>2.0</t>
  </si>
  <si>
    <t>Sala de fisioterapia</t>
  </si>
  <si>
    <t>ED-17989</t>
  </si>
  <si>
    <t>2.3</t>
  </si>
  <si>
    <t>Perímetro ( M)</t>
  </si>
  <si>
    <t>ED-48479</t>
  </si>
  <si>
    <t>ESTRUTURAS DE CONCRETO</t>
  </si>
  <si>
    <t>ED-51107</t>
  </si>
  <si>
    <t>ED-51093</t>
  </si>
  <si>
    <t>APILOAMENTO DO FUNDO DE VALAS COM SOQUETE</t>
  </si>
  <si>
    <t>ED-49812</t>
  </si>
  <si>
    <t>ED-48297</t>
  </si>
  <si>
    <t>ED-48295</t>
  </si>
  <si>
    <t>ED-49787</t>
  </si>
  <si>
    <t>ED-49810</t>
  </si>
  <si>
    <t>92541</t>
  </si>
  <si>
    <t>TRAMA DE MADEIRA COMPOSTA POR RIPAS, CAIBROS E TERÇAS PARA TELHADOS DE ATÉ 2 ÁGUAS PARA TELHA CERÂMICA CAPA-CANAL, INCLUSO TRANSPORTE VERTICAL. AF_07/2019</t>
  </si>
  <si>
    <t>94201</t>
  </si>
  <si>
    <t>TELHAMENTO COM TELHA CERÂMICA CAPA-CANAL, TIPO COLONIAL, COM ATÉ 2 ÁGUAS, INCLUSO TRANSPORTE VERTICAL. AF_07/2019</t>
  </si>
  <si>
    <t>6.3</t>
  </si>
  <si>
    <t>6.4</t>
  </si>
  <si>
    <t>REATERRO MANUAL APILOADO COM SOQUETE. AF_10/2017</t>
  </si>
  <si>
    <t>IMPERMEABILIZAÇÃO DE SUPERFÍCIE COM EMULSÃO ASFÁLTICA, 2 DEMÃOS AF_06/2018</t>
  </si>
  <si>
    <t>ED-51097</t>
  </si>
  <si>
    <t>ATERRO COMPACTADO MANUAL, COM SOQUETE</t>
  </si>
  <si>
    <t>92261</t>
  </si>
  <si>
    <t>6.5</t>
  </si>
  <si>
    <t>4.6</t>
  </si>
  <si>
    <t>4.7</t>
  </si>
  <si>
    <t>4.8</t>
  </si>
  <si>
    <t>4.9</t>
  </si>
  <si>
    <t>4.10</t>
  </si>
  <si>
    <t>5.5</t>
  </si>
  <si>
    <t>10.5</t>
  </si>
  <si>
    <t>10.6</t>
  </si>
  <si>
    <t>10.7</t>
  </si>
  <si>
    <t>10.8</t>
  </si>
  <si>
    <t>10.9</t>
  </si>
  <si>
    <t>12.4</t>
  </si>
  <si>
    <t>12.5</t>
  </si>
  <si>
    <t>12.6</t>
  </si>
  <si>
    <t>12.7</t>
  </si>
  <si>
    <t>12.8</t>
  </si>
  <si>
    <t>12.9</t>
  </si>
  <si>
    <t>12.10</t>
  </si>
  <si>
    <t>13.1</t>
  </si>
  <si>
    <t>13.2</t>
  </si>
  <si>
    <t>13.3</t>
  </si>
  <si>
    <t>Estrutura</t>
  </si>
  <si>
    <t>Área</t>
  </si>
  <si>
    <t>Profundidade</t>
  </si>
  <si>
    <t>Área total</t>
  </si>
  <si>
    <t xml:space="preserve">Volume </t>
  </si>
  <si>
    <t>Lado B</t>
  </si>
  <si>
    <t>DEMOLIÇÃO DE PILARES E VIGAS EM CONCRETO ARMADO, DE FORMA MANUAL, SEM REAPROVEITAMENTO. AF_12/2017</t>
  </si>
  <si>
    <t>Cobertura Fisioterapia</t>
  </si>
  <si>
    <t>Fisioterapia parede A</t>
  </si>
  <si>
    <t>Fisioterapia parede B</t>
  </si>
  <si>
    <t>ED-50509</t>
  </si>
  <si>
    <t xml:space="preserve">    </t>
  </si>
  <si>
    <t>ED-9317</t>
  </si>
  <si>
    <t>ED-50566</t>
  </si>
  <si>
    <t>9.5</t>
  </si>
  <si>
    <t>9.6</t>
  </si>
  <si>
    <t>OBRA: Reforma e ampliação de Unidade Básica de Saude (UBS) - Luiz Pires de Minas</t>
  </si>
  <si>
    <t xml:space="preserve"> Curativo</t>
  </si>
  <si>
    <t xml:space="preserve">Varanda </t>
  </si>
  <si>
    <t xml:space="preserve">Portão </t>
  </si>
  <si>
    <t>curativo</t>
  </si>
  <si>
    <t>Fiosterapia</t>
  </si>
  <si>
    <t>Fisoterapia</t>
  </si>
  <si>
    <t>s1 = s2 = s5=s8=s11=s12</t>
  </si>
  <si>
    <t>Área base</t>
  </si>
  <si>
    <t>s3=s6=s9=s13</t>
  </si>
  <si>
    <t>Largura</t>
  </si>
  <si>
    <t>Altura</t>
  </si>
  <si>
    <t>Volume</t>
  </si>
  <si>
    <t>Vigas baldrame</t>
  </si>
  <si>
    <t xml:space="preserve">Comprimento </t>
  </si>
  <si>
    <t>VB2=VB3</t>
  </si>
  <si>
    <t>VB1=VB4</t>
  </si>
  <si>
    <t>VB5=VB6</t>
  </si>
  <si>
    <t xml:space="preserve">VOLUME TOTAL </t>
  </si>
  <si>
    <t>Lado A</t>
  </si>
  <si>
    <t>AREA TOTAL</t>
  </si>
  <si>
    <t>Espessura</t>
  </si>
  <si>
    <t>Prancha 2</t>
  </si>
  <si>
    <t>Prancha 3</t>
  </si>
  <si>
    <t>Area de forma</t>
  </si>
  <si>
    <t>Utilização</t>
  </si>
  <si>
    <t>Área final</t>
  </si>
  <si>
    <t>*Foi considerado escavação de 20cm a maisem cada lado da estrtura, para montagem da forma.</t>
  </si>
  <si>
    <t>Volume escavado</t>
  </si>
  <si>
    <t>Volume de concreto</t>
  </si>
  <si>
    <t>Volume reaterro</t>
  </si>
  <si>
    <t>Paredes extrernas fisioterapia</t>
  </si>
  <si>
    <t>Área( M²)</t>
  </si>
  <si>
    <t>ÁREA TOTAL</t>
  </si>
  <si>
    <t>Área base (m²)</t>
  </si>
  <si>
    <t>Área total (M²)</t>
  </si>
  <si>
    <t>Volume (M³)</t>
  </si>
  <si>
    <t>Comprimento(m)</t>
  </si>
  <si>
    <t>FORMA E DESFORMA DE TÁBUA E SARRAFO, REAPROVEITAMENTO (3X) (FUNDAÇÃO)</t>
  </si>
  <si>
    <t>LIMPEZA DE TERRENO, INCLUSIVE CAPINA, RASTELAMENTO COM AFASTAMENTO ATÉ VINTE (20) METROS E QUEIMA CONTROLADA</t>
  </si>
  <si>
    <t>LOCAÇÃO DE OBRA COM GABARITO DE TÁBUAS CORRIDAS PONTALETADAS A CADA 2,00M, REAPROVEITAMENTO (2X), INCLUSIVE ACOMPANHAMENTO DE EQUIPE TOPOGRÁFICA PARA MARCAÇÃO DE PONTO TOPOGRÁFICO</t>
  </si>
  <si>
    <t>ESCAVAÇÃO MANUAL DE VALA COM PROFUNDIDADE MENOR OU IGUAL A 1,5M</t>
  </si>
  <si>
    <t>LASTRO DE CONCRETO MAGRO, INCLUSIVE TRANSPORTE, LANÇAMENTO E ADENSAMENTO</t>
  </si>
  <si>
    <t>CORTE, DOBRA E MONTAGEM DE AÇO CA-60 DIÂMETRO (4,2MM A 5,0MM)</t>
  </si>
  <si>
    <t>CORTE, DOBRA E MONTAGEM DE AÇO CA-50 DIÂMETRO (6,3MM A 12,5MM)</t>
  </si>
  <si>
    <t>FORNECIMENTO DE CONCRETO ESTRUTURAL, PREPARADO EM OBRA COM BETONEIRA, COM FCK 25 MPA, INCLUSIVE LANÇAMENTO, ADENSAMENTO E ACABAMENTO (FUNDAÇÃO)</t>
  </si>
  <si>
    <t>DEMOLIÇÃO MANUAL DE PISO CIMENTADO OU CONTRAPISO DE ARGAMASSA, COM ESPESSURA MÁXIMA DE 10CM, INCLUSIVE AFASTAMENTO E EMPILHAMENTO, EXCLUSIVE TRANSPORTE E RETIRADA DO MATERIAL DEMOLIDO.</t>
  </si>
  <si>
    <t>Desconto(M)</t>
  </si>
  <si>
    <t>REMOÇÃO MANUAL DE TELHA CERÂMICA, COM REAPROVEITAMENTO, INCLUSIVE AFASTAMENTO E EMPILHAMENTO, EXCLUSIVE TRANSPORTE E RETIRADA DO  MATERIAL REMOVIDO NÃO REAPROVEITÁVEL</t>
  </si>
  <si>
    <t>REMOÇÃO MANUAL DE BANCADA DE PEDRA (MÁRMORE, GRANITO, ARDÓSIA, MARMORITE, ETC.), COM REAPROVEITAMENTO, INCLUSIVE RASGO EM ALVENARIA, REMOÇÃO DE ACESSÓRIOS DE FIXAÇÃO, AFASTAMENTO E EMPILHAMENTO, EXCLUSIVE TRANSPORTE E RETIRADA DO MATERIAL REMOVIDO NÃO REAPROVEITÁVEL</t>
  </si>
  <si>
    <t>MASSA ÚNICA, PARA RECEBIMENTO DE PINTURA, EM ARGAMASSA TRAÇO 1:2:8,EPARO MANUAL, APLICADA MANUALMENTE EM FACES INTERNAS DE PAREDES,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</si>
  <si>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</si>
  <si>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FORRO EM RÉGUA DE PVC, LARGURA 20CM, NA COR BRANCA, INCLUSIVE ESTRUTURA DE FIXAÇÃO E PENDURAIS METÁLICOS E ACESSÓRIOS DE FIXAÇÃO, EXCLUSIVE RODAFORRO OU MOLDURA</t>
  </si>
  <si>
    <t>ARGAMASSA, TRAÇO 1:4 (CIMENTO E AREIA), PREPARO MECÂNICO</t>
  </si>
  <si>
    <t>PEDREIRO COM ENCARGOS COMPLEMENTARES</t>
  </si>
  <si>
    <t>BARRA AÇO CA-50 (BITOLA: 8,00 MM| MASSA LINEAR: 0,395KG/M)</t>
  </si>
  <si>
    <t>COSTURA DE TRINCA COM GRAMPO, BARRA DE AÇO CA-50 Ø8,0MM, COMPRIMENTO TOTAL 40CM, ESPAÇAMENTO DE 15CM, INCLUSIVE CORTE, DOBRA E ARGAMASSA, TRAÇO 1:4 (CIMENTO E AREIA), PREPARO MECÂNICO</t>
  </si>
  <si>
    <t>PISO EM CONCRETO, PREPARADO EM OBRA COM BETONEIRA, FCK 10MPA, SEM ARMAÇÃO, ACABAMENTO RÚSTICO, ESP. 5CM, INCLUSIVE FORNECIMENTO, LANÇAMENTO, ADENSAMENTO, SARRAFEAMENTO, EXCLUSIVE JUNTA DE DILATAÇÃO</t>
  </si>
  <si>
    <t>CONTRAPISO DESEMPENADO COM ARGAMASSA, TRAÇO 1:3 (CIMENTO E AREIA), ESP. 20MM</t>
  </si>
  <si>
    <t>PINTURA ESMALTE EM SUPERFÍCIE DE CONCRETO/ALVENARIA, DUAS (2) DEMÃOS, EXCLUSIVE SELADOR ACRÍLICO E MASSA ACRÍLICA/CORRIDA (PVA)</t>
  </si>
  <si>
    <t>LIXAMENTO MANUAL EM SUPERFÍCIE METÁLICA PARA REMOÇÃO DE TINTA</t>
  </si>
  <si>
    <t>PINTURA ESMALTE SINTÉTICO EM SUPERFÍCIES GALVANIZADAS, DUAS (2) DEMÃOS, INCLUSIVE UMA (1) DEMÃO DE FUNDO ANTICORROSIVO</t>
  </si>
  <si>
    <t>PINTURA ANTICORROSIVA A BASE DE ÓXIDO DE FERRO (ZARCÃO) EM ESQUADRIA E SUPERFÍCIE METÁLICA, UMA (1) DEMÃO</t>
  </si>
  <si>
    <t>BACIA SANITÁRIA (VASO) DE LOUÇA CONVENCIONAL, ACESSÍVEL (PCR/PMR), COR BRANCA, COM INSTALAÇÃO DE SÓCULO NA BASE DA BACIA ACOMPANHANDO A PROJEÇÃO DA BASE, NÃO ULTRAPASSANDO ALTURA DE 5CM, ALTURA MÁXIMA DE 46CM (BACIA+ASSENTO), INCLUSIVE ACESSÓRIOS DE FIXAÇÃO/VEDAÇÃO, VÁLVULA DE DESCARGA METÁLICA COM ACIONAMENTO DUPLO, TUBO DE LIGAÇÃO DE LATÃO COM CANOPLA, FORNECIMENTO, INSTALAÇÃO E REJUNTAMENTO, EXCLUSIVE ASSENTO</t>
  </si>
  <si>
    <t>TANQUE DE MÁRMORE SINTÉTICO DUPLO, CAPACIDADE 37 LITROS, INCLUSIVE ACESSÓRIOS DE FIXAÇÃO, VÁLVULA DE ESCOAMENTO DE METAL COM ACABAMENTO CROMADO, SIFÃO DE METAL TIPO COPO COM ACABAMENTO CROMADO, FORNECIMENTO E INSTALAÇÃO, EXCLUSIVE TORNEIRA</t>
  </si>
  <si>
    <t>COMPOSIÇÃO PARAMÉTRICA DE PONTO ELÉTRICO DE ILUMINAÇÃO, COM INTERRUPTOR SIMPLES, EM EDIFÍCIO RESIDENCIAL COM ELETRODUTO EMBUTIDO EM RASGOS NAS PAREDES, INCLUSO TOMADA, ELETRODUTO, CABO, RASGO E CHUMBAMENTO (SEM LUMINÁRIA E LÂMPADA). AF_11/2022</t>
  </si>
  <si>
    <t>COMPOSIÇÃO PARAMÉTRICA DE PONTO ELÉTRICO DE TOMADA DE USO GERAL 2P+T10A/250V) EM EDIFÍCIO RESIDENCIAL COM ELETRODUTO EMBUTIDO EM RASGOS NAS PAREDES, INCLUSO TOMADA, ELETRODUTO, CABO, RASGO, QUEBRA E CHUMBAMENTO. AF_11/2022</t>
  </si>
  <si>
    <t>12.11</t>
  </si>
  <si>
    <t xml:space="preserve">86909 </t>
  </si>
  <si>
    <t>TORNEIRA CROMADA TUBO MÓVEL, DE MESA, 1/2 OU 3/4, PARA PIA DE COZINHA, PADRÃO ALTO - FORNECIMENTO E INSTALAÇÃO. AF_01/2020</t>
  </si>
  <si>
    <t>Banheiro Ginecologia</t>
  </si>
  <si>
    <t/>
  </si>
  <si>
    <t>Recepção (Balcão)</t>
  </si>
  <si>
    <t>Volume m³</t>
  </si>
  <si>
    <t>Diâmetro</t>
  </si>
  <si>
    <t xml:space="preserve"> Banheiro Procedimentos</t>
  </si>
  <si>
    <t>Banheiro Procedimentos</t>
  </si>
  <si>
    <t>CME</t>
  </si>
  <si>
    <t>Área(m²)</t>
  </si>
  <si>
    <t xml:space="preserve">  </t>
  </si>
  <si>
    <t>JANELA DE AÇO DE CORRER COM 4 FOLHAS PARA VIDRO, COM BATENTE, FERRAGENS E PINTURA ANTICORROSIVA. EXCLUSIVE VIDROS, ALIZAR E CONTRAMARCO. FOR
 NECIMENTO E INSTALAÇÃO. AF_12/2019</t>
  </si>
  <si>
    <t>KIT DE PORTA-PRONTA DE MADEIRA EM ACABAMENTO MELAMÍNICO BRANCO, FOLHA PESADA OU SUPERPESADA, 80X210CM, FIXAÇÃO COM PREENCHIMENTO PARCIAL DE
 ESPUMA EXPANSIVA - FORNECIMENTO E INSTALAÇÃO. AF_12/2019</t>
  </si>
  <si>
    <t>Banheiro  Ginecologia</t>
  </si>
  <si>
    <t>PORTA PIVOTANTE DE VIDRO TEMPERADO, 2 FOLHAS DE 90X210 CM, ESPESSURA DE 10MM, INCLUSIVE ACESSÓRIOS. AF_01/2021- SALA DE ESPERA</t>
  </si>
  <si>
    <t>INSTALAÇÃO DE TESOURA (INTEIRA OU MEIA), BIAPOIADA, EM MADEIRA NÃO APARELHADA, PARA VÃOS MAIORES OU IGUAIS A 8,0 M E MENORES QUE 10,0 M, INCLUSO IÇAMENTO. AF_07/2019</t>
  </si>
  <si>
    <t xml:space="preserve">Expurgo </t>
  </si>
  <si>
    <t xml:space="preserve">Medico </t>
  </si>
  <si>
    <t xml:space="preserve">Banheiro 1 </t>
  </si>
  <si>
    <t xml:space="preserve">Sala de reunião </t>
  </si>
  <si>
    <t xml:space="preserve">Triagem </t>
  </si>
  <si>
    <t xml:space="preserve">Recepção </t>
  </si>
  <si>
    <t xml:space="preserve">DML </t>
  </si>
  <si>
    <t xml:space="preserve">Circulação 1 </t>
  </si>
  <si>
    <t xml:space="preserve">Circulação 2 </t>
  </si>
  <si>
    <t xml:space="preserve">Circulação 3 </t>
  </si>
  <si>
    <t xml:space="preserve">Circulação 4 </t>
  </si>
  <si>
    <t>Parede externa</t>
  </si>
  <si>
    <t>Sala de Fisioterapia</t>
  </si>
  <si>
    <t xml:space="preserve">EMASSAMENTO EM PAREDE COM MASSA CORRIDA (PVA), UMA (1) DEMÃO, INCLUSIVE LIXAMENTO PARA PINTURA. 
</t>
  </si>
  <si>
    <t>APLICAÇÃO DE FUNDO SELADOR ACRÍLICO EM PAREDES, UMA DEMÃO. AF_06/2014 - PAREDES NOVAS</t>
  </si>
  <si>
    <t>Perímetro( M)</t>
  </si>
  <si>
    <t xml:space="preserve">Ginecologia </t>
  </si>
  <si>
    <t>Fisioterapia(Externa)</t>
  </si>
  <si>
    <t>Paredes externas</t>
  </si>
  <si>
    <t>(COMPOSIÇÃO REPRESENTATIVA) DO SERVIÇO DE INSTALAÇÃO DE TUBOS DE PVC SOLDÁVEL, ÁGUA FRIA, DN 50 MM (INSTALADO EM PRUMADA), INCLUSIVE CONEXÕES, CORTES E FIXAÇÕES, PARA PRÉDIOS. AF_10/2015</t>
  </si>
  <si>
    <t xml:space="preserve">86895 </t>
  </si>
  <si>
    <t>BANCADA DE GRANITO CINZA POLIDO, DE 0,50 X 0,60 M, PARA LAVATÓRIO FORRNECIMENTO E INSTALAÇÃO. AF_01/2020</t>
  </si>
  <si>
    <t>12.12</t>
  </si>
  <si>
    <t>ED-50279</t>
  </si>
  <si>
    <t>CUBA DE LOUÇA BRANCA DE EMBUTIR, FORMATO OVAL,
INCLUSIVE VÁLVULA DE ESCOAMENTO DE METAL COM
ACABAMENTO CROMADO, SIFÃO DE METAL TIPO COPO COM
ACABAMENTO CROMADO, FORNECIMENTO E INSTALAÇÃO</t>
  </si>
  <si>
    <t>12.13</t>
  </si>
  <si>
    <t>Varanda</t>
  </si>
  <si>
    <t xml:space="preserve">Banheiro ginecologia </t>
  </si>
  <si>
    <t xml:space="preserve"> Fisioterapia</t>
  </si>
  <si>
    <t>RASGO EM ALVENARIA PARA ELETRODUTOS COM DIAMETROS MENORES OU IGUAIS A 40 MM. AF_05/2015</t>
  </si>
  <si>
    <t>11.6</t>
  </si>
  <si>
    <t>11.7</t>
  </si>
  <si>
    <t xml:space="preserve">ED-50705 </t>
  </si>
  <si>
    <t>ENCHIMENTO DE RASGO EM ALVENARIA/CONCRETO COM
ARGAMASSA, DIÂMETROS DE 32MM A 50MM (1.1/4" A 2"),
INCLUSIVE ARGAMASSA, TRAÇO 1:2:8 (CIMENTO, CAL E AREIA),
PREPARO MECÂNICO</t>
  </si>
  <si>
    <t>SUMIDOURO</t>
  </si>
  <si>
    <t>14.1</t>
  </si>
  <si>
    <t>SUMIDOURO RETANGULAR, EM ALVENARIA COM TIJOLOS CERÂMICOS MACIÇOS, DIMENSÕES INTERNAS: 1,6 X 5,8 X H=3,0 M, ÁREA DE INFILTRAÇÃO: 50 M² (PARA
 20 CONTRIBUINTES). AF_12/2020</t>
  </si>
  <si>
    <t xml:space="preserve">86900 </t>
  </si>
  <si>
    <t>CUBA DE EMBUTIR RETANGULAR DE AÇO INOXIDÁVEL, 46 X 30 X 12 CM - FORNECIMENTO E INSTALAÇÃO. AF_01/2020</t>
  </si>
  <si>
    <t>15.1</t>
  </si>
  <si>
    <t>ED-51148</t>
  </si>
  <si>
    <t xml:space="preserve">RAMPA PARA ACESSO DE DEFICIENTE, EM
CONCRETO SIMPLES FCK = 25 MPA, DESEMPENADA, COM PINTURA
INDICATIVA, 02 DEMÃOS - ACESSO CALÇADA
</t>
  </si>
  <si>
    <t>15.2</t>
  </si>
  <si>
    <t>CONTRAPISO DESEMPENADO COM ARGAMASSA,
TRAÇO 1:3 (CIMENTO E AREIA), ESP. 20MM</t>
  </si>
  <si>
    <t>15.3</t>
  </si>
  <si>
    <t>Calçada</t>
  </si>
  <si>
    <t>Rampa</t>
  </si>
  <si>
    <t>15.4</t>
  </si>
  <si>
    <t>15.5</t>
  </si>
  <si>
    <t>CORRIMÃO SIMPLES, DIÂMETRO EXTERNO = 1 1/2, EM AÇO GALVANIZADO. AF_04/2019_PS</t>
  </si>
  <si>
    <t>ED-50938</t>
  </si>
  <si>
    <t xml:space="preserve">GUARDA-CORPO EM AÇO GALVANIZADO DIN 2440, D = 2", COM
SUBDIVISÕES EM TUBO DE AÇO D = 1/2", H = 1,05 M - COM
CORRIMÃO SIMPLES DE TUBO DE AÇO GALVANIZADO DE D = 1 1/
2"
</t>
  </si>
  <si>
    <t>Escada</t>
  </si>
  <si>
    <t>Patamar</t>
  </si>
  <si>
    <t xml:space="preserve">Quantidade </t>
  </si>
  <si>
    <t>15.6</t>
  </si>
  <si>
    <t>Sala de fisoterapia</t>
  </si>
  <si>
    <t>ALVENARIA DE VEDAÇÃO COM BLOCO DE CONCRETO, ESP.14CM,
PARA REVESTIMENTO, INCLUSIVE ARGAMASSA PARA ASSENTAMENTO</t>
  </si>
  <si>
    <t>15.7</t>
  </si>
  <si>
    <t>Altura( M)</t>
  </si>
  <si>
    <t>Patamar (Rampa)</t>
  </si>
  <si>
    <t>Laterais patamar</t>
  </si>
  <si>
    <t>Passeio</t>
  </si>
  <si>
    <t>15.8</t>
  </si>
  <si>
    <t>15.9</t>
  </si>
  <si>
    <t>ED-48440</t>
  </si>
  <si>
    <t xml:space="preserve"> DEMOLIÇÃO MANUAL DE CONCRETO, SEM ARMAÇÃO, INCLUSIVE
AFASTAMENTO E EMPILHAMENTO, EXCLUSIVE TRANSPORTE E
RETIRADA DO MATERIAL DEMOLIDO</t>
  </si>
  <si>
    <t>Rampa Existente</t>
  </si>
  <si>
    <t>Arquiteta e Urbanista - Vanessa Santos Fonseca</t>
  </si>
  <si>
    <t xml:space="preserve">CAU MG: A1697007
</t>
  </si>
  <si>
    <t>PRAZO DE EXECUÇÃO: 6 meses</t>
  </si>
  <si>
    <t>REFORMA DE UNIDADE BÁSICA DE SAÚDE DE LUIS PIRES DE MINAS</t>
  </si>
  <si>
    <t>PRAZO DE EXECUÇÃO: 6 MESES</t>
  </si>
  <si>
    <t>3.11</t>
  </si>
  <si>
    <t>3.12</t>
  </si>
  <si>
    <t>3.13</t>
  </si>
  <si>
    <t>4.0</t>
  </si>
  <si>
    <t>DATA: 29/03/2023</t>
  </si>
  <si>
    <t>7.6</t>
  </si>
  <si>
    <t>7.7</t>
  </si>
  <si>
    <t xml:space="preserve">ED-48192 </t>
  </si>
  <si>
    <t>RAMPA E PASSEIO</t>
  </si>
  <si>
    <t>Rampa e Escada</t>
  </si>
  <si>
    <t>VALOR:  R$ 294,700,62</t>
  </si>
  <si>
    <t>9.7</t>
  </si>
  <si>
    <t xml:space="preserve">ED-9081 </t>
  </si>
  <si>
    <t>REVESTIMENTO COM CERÂMICA APLICADO EM PAREDE,
ACABAMENTO ESMALTADO, AMBIENTE INTERNO/EXTERNO,
PADRÃO EXTRA, DIMENSÃO DA PEÇA ATÉ 2025 CM2, PEI III,
ASSENTAMENTO COM ARGAMASSA INDUSTRIALIZADA, INCLUSIVE
 REJUNTAMENTO</t>
  </si>
  <si>
    <t>Copa Lado A</t>
  </si>
  <si>
    <t xml:space="preserve">94562 </t>
  </si>
  <si>
    <t>6.6</t>
  </si>
  <si>
    <t>ED-50956</t>
  </si>
  <si>
    <t>FORNECIMENTO E ASSENTAMENTO DE JANELA EM FERRO, TIPO
MAXIM-AR, INCLUSIVE FERRAGENS E ACESSÓRIOS</t>
  </si>
</sst>
</file>

<file path=xl/styles.xml><?xml version="1.0" encoding="utf-8"?>
<styleSheet xmlns="http://schemas.openxmlformats.org/spreadsheetml/2006/main">
  <numFmts count="20">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_(&quot;R$ &quot;* #,##0.00_);_(&quot;R$ &quot;* \(#,##0.00\);_(&quot;R$ &quot;* &quot;-&quot;??_);_(@_)"/>
    <numFmt numFmtId="165" formatCode="_(* #,##0.00_);_(* \(#,##0.00\);_(* &quot;-&quot;??_);_(@_)"/>
    <numFmt numFmtId="166" formatCode="_(&quot;R$&quot;* #,##0.00_);_(&quot;R$&quot;* \(#,##0.00\);_(&quot;R$&quot;* &quot;-&quot;??_);_(@_)"/>
    <numFmt numFmtId="167" formatCode="#,##0.00\ ;&quot; (&quot;#,##0.00\);&quot; -&quot;#\ ;@\ "/>
    <numFmt numFmtId="168" formatCode="_-* #,##0.00\ _D_M_-;\-* #,##0.00\ _D_M_-;_-* &quot;-&quot;??\ _D_M_-;_-@_-"/>
    <numFmt numFmtId="169" formatCode="&quot;R$&quot;\ #,##0.00"/>
    <numFmt numFmtId="170" formatCode="_-&quot;R$ &quot;* #,##0.00_-;&quot;-R$ &quot;* #,##0.00_-;_-&quot;R$ &quot;* \-??_-;_-@_-"/>
    <numFmt numFmtId="171" formatCode="&quot;R$&quot;\ #,##0.00;[Red]\-&quot;R$&quot;\ #,##0.00"/>
    <numFmt numFmtId="172" formatCode="&quot;R$ &quot;#,##0.00"/>
    <numFmt numFmtId="173" formatCode="&quot;R$&quot;#,##0.00"/>
    <numFmt numFmtId="174" formatCode="0.0"/>
    <numFmt numFmtId="175" formatCode="#,##0.0000000"/>
  </numFmts>
  <fonts count="72">
    <font>
      <sz val="10"/>
      <name val="Arial"/>
      <family val="0"/>
    </font>
    <font>
      <sz val="11"/>
      <color indexed="8"/>
      <name val="Calibri"/>
      <family val="2"/>
    </font>
    <font>
      <sz val="9"/>
      <name val="Arial"/>
      <family val="2"/>
    </font>
    <font>
      <sz val="8"/>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b/>
      <sz val="8"/>
      <name val="Times New Roman"/>
      <family val="1"/>
    </font>
    <font>
      <b/>
      <sz val="18"/>
      <color indexed="62"/>
      <name val="Cambria"/>
      <family val="2"/>
    </font>
    <font>
      <u val="single"/>
      <sz val="10"/>
      <name val="Arial"/>
      <family val="2"/>
    </font>
    <font>
      <i/>
      <sz val="9"/>
      <name val="Arial"/>
      <family val="2"/>
    </font>
    <font>
      <b/>
      <i/>
      <sz val="8"/>
      <name val="Arial"/>
      <family val="2"/>
    </font>
    <font>
      <b/>
      <sz val="11"/>
      <name val="Calibri"/>
      <family val="2"/>
    </font>
    <font>
      <i/>
      <sz val="8"/>
      <name val="Arial"/>
      <family val="2"/>
    </font>
    <font>
      <sz val="10"/>
      <color indexed="8"/>
      <name val="Arial"/>
      <family val="2"/>
    </font>
    <font>
      <b/>
      <sz val="10"/>
      <color indexed="8"/>
      <name val="Arial"/>
      <family val="2"/>
    </font>
    <font>
      <sz val="10"/>
      <color indexed="10"/>
      <name val="Arial"/>
      <family val="2"/>
    </font>
    <font>
      <b/>
      <sz val="10"/>
      <color indexed="9"/>
      <name val="Arial"/>
      <family val="2"/>
    </font>
    <font>
      <b/>
      <sz val="8"/>
      <name val="Arial"/>
      <family val="2"/>
    </font>
    <font>
      <sz val="8"/>
      <color indexed="8"/>
      <name val="Arial"/>
      <family val="2"/>
    </font>
    <font>
      <u val="single"/>
      <sz val="10"/>
      <color indexed="12"/>
      <name val="Arial"/>
      <family val="2"/>
    </font>
    <font>
      <b/>
      <u val="single"/>
      <sz val="10"/>
      <name val="Arial"/>
      <family val="2"/>
    </font>
    <font>
      <b/>
      <sz val="9"/>
      <name val="Arial"/>
      <family val="2"/>
    </font>
    <font>
      <b/>
      <sz val="9"/>
      <color indexed="8"/>
      <name val="Arial"/>
      <family val="2"/>
    </font>
    <font>
      <b/>
      <sz val="11"/>
      <name val="Arial"/>
      <family val="2"/>
    </font>
    <font>
      <sz val="11"/>
      <name val="Arial"/>
      <family val="2"/>
    </font>
    <font>
      <sz val="9"/>
      <color indexed="8"/>
      <name val="Arial"/>
      <family val="2"/>
    </font>
    <font>
      <b/>
      <u val="single"/>
      <sz val="12"/>
      <color indexed="8"/>
      <name val="Times New Roman"/>
      <family val="0"/>
    </font>
    <font>
      <sz val="12"/>
      <color indexed="8"/>
      <name val="Times New Roman"/>
      <family val="0"/>
    </font>
    <font>
      <b/>
      <u val="single"/>
      <sz val="14"/>
      <color indexed="8"/>
      <name val="Times New Roman"/>
      <family val="0"/>
    </font>
    <font>
      <sz val="14"/>
      <color indexed="8"/>
      <name val="Times New Roman"/>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Arial"/>
      <family val="2"/>
    </font>
    <font>
      <b/>
      <sz val="10"/>
      <color theme="1"/>
      <name val="Arial"/>
      <family val="2"/>
    </font>
    <font>
      <sz val="10"/>
      <color rgb="FFFF0000"/>
      <name val="Arial"/>
      <family val="2"/>
    </font>
    <font>
      <b/>
      <sz val="9"/>
      <color theme="1"/>
      <name val="Arial"/>
      <family val="2"/>
    </font>
    <font>
      <sz val="8"/>
      <color rgb="FF000000"/>
      <name val="Arial"/>
      <family val="2"/>
    </font>
    <font>
      <b/>
      <sz val="10"/>
      <color theme="0"/>
      <name val="Arial"/>
      <family val="2"/>
    </font>
    <font>
      <sz val="9"/>
      <color theme="1"/>
      <name val="Arial"/>
      <family val="2"/>
    </font>
  </fonts>
  <fills count="7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55"/>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theme="3" tint="0.5999900102615356"/>
        <bgColor indexed="64"/>
      </patternFill>
    </fill>
  </fills>
  <borders count="10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hair">
        <color indexed="63"/>
      </left>
      <right style="hair">
        <color indexed="63"/>
      </right>
      <top style="hair">
        <color indexed="63"/>
      </top>
      <bottom style="hair">
        <color indexed="63"/>
      </bottom>
    </border>
    <border>
      <left/>
      <right/>
      <top/>
      <bottom style="thick">
        <color indexed="49"/>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uble"/>
      <right style="thin"/>
      <top style="double"/>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medium"/>
      <right/>
      <top/>
      <bottom/>
    </border>
    <border>
      <left style="thin"/>
      <right style="thin"/>
      <top style="thin"/>
      <bottom style="thin"/>
    </border>
    <border>
      <left style="thin"/>
      <right style="thin"/>
      <top/>
      <bottom style="thin"/>
    </border>
    <border>
      <left style="medium"/>
      <right style="thin"/>
      <top style="thin"/>
      <bottom style="thin"/>
    </border>
    <border>
      <left style="thin"/>
      <right style="medium"/>
      <top/>
      <bottom style="thin"/>
    </border>
    <border>
      <left style="thin"/>
      <right style="medium"/>
      <top style="thin"/>
      <bottom style="thin"/>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right style="medium"/>
      <top/>
      <bottom/>
    </border>
    <border>
      <left style="medium"/>
      <right style="thin"/>
      <top/>
      <bottom/>
    </border>
    <border>
      <left/>
      <right/>
      <top style="medium"/>
      <bottom style="thin"/>
    </border>
    <border>
      <left/>
      <right style="medium"/>
      <top/>
      <bottom style="thin"/>
    </border>
    <border>
      <left style="medium"/>
      <right style="medium"/>
      <top/>
      <bottom/>
    </border>
    <border>
      <left/>
      <right/>
      <top style="thin"/>
      <bottom/>
    </border>
    <border>
      <left/>
      <right/>
      <top style="medium"/>
      <bottom style="medium"/>
    </border>
    <border>
      <left style="thin"/>
      <right style="thin"/>
      <top style="thin"/>
      <bottom/>
    </border>
    <border>
      <left style="medium"/>
      <right/>
      <top style="medium"/>
      <bottom style="medium"/>
    </border>
    <border>
      <left style="medium"/>
      <right style="medium"/>
      <top style="medium"/>
      <bottom style="medium"/>
    </border>
    <border>
      <left/>
      <right style="medium"/>
      <top style="medium"/>
      <bottom style="medium"/>
    </border>
    <border>
      <left/>
      <right/>
      <top/>
      <bottom style="thin"/>
    </border>
    <border>
      <left/>
      <right style="thin"/>
      <top style="thin"/>
      <bottom style="thin"/>
    </border>
    <border>
      <left/>
      <right/>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hair"/>
      <top/>
      <bottom style="hair"/>
    </border>
    <border>
      <left style="hair"/>
      <right style="hair"/>
      <top style="hair"/>
      <bottom style="hair"/>
    </border>
    <border>
      <left style="hair"/>
      <right style="hair"/>
      <top/>
      <bottom style="hair"/>
    </border>
    <border>
      <left style="hair"/>
      <right style="medium"/>
      <top style="hair"/>
      <bottom style="hair"/>
    </border>
    <border>
      <left style="hair"/>
      <right style="medium"/>
      <top/>
      <bottom style="hair"/>
    </border>
    <border>
      <left style="thin"/>
      <right style="thin"/>
      <top style="thin"/>
      <bottom style="medium"/>
    </border>
    <border>
      <left style="hair"/>
      <right style="hair"/>
      <top style="thin"/>
      <bottom style="hair"/>
    </border>
    <border>
      <left style="hair"/>
      <right/>
      <top style="thin"/>
      <bottom style="hair"/>
    </border>
    <border>
      <left style="hair"/>
      <right/>
      <top style="hair"/>
      <bottom style="hair"/>
    </border>
    <border>
      <left/>
      <right style="hair"/>
      <top style="hair"/>
      <bottom style="hair"/>
    </border>
    <border>
      <left style="medium"/>
      <right style="hair"/>
      <top style="thin"/>
      <bottom style="hair"/>
    </border>
    <border>
      <left style="hair"/>
      <right style="medium"/>
      <top style="thin"/>
      <bottom style="hair"/>
    </border>
    <border>
      <left style="thin"/>
      <right/>
      <top/>
      <bottom style="medium"/>
    </border>
    <border>
      <left style="thin"/>
      <right/>
      <top style="thin"/>
      <bottom style="thin"/>
    </border>
    <border>
      <left/>
      <right style="hair"/>
      <top/>
      <bottom style="hair"/>
    </border>
    <border>
      <left style="hair"/>
      <right/>
      <top/>
      <bottom style="hair"/>
    </border>
    <border>
      <left style="thin"/>
      <right style="medium"/>
      <top style="thin">
        <color theme="0"/>
      </top>
      <bottom/>
    </border>
    <border>
      <left style="hair"/>
      <right/>
      <top/>
      <bottom/>
    </border>
    <border>
      <left style="hair"/>
      <right style="hair"/>
      <top/>
      <bottom/>
    </border>
    <border>
      <left style="hair"/>
      <right/>
      <top style="hair"/>
      <bottom/>
    </border>
    <border>
      <left style="hair"/>
      <right style="hair"/>
      <top style="hair"/>
      <bottom/>
    </border>
    <border>
      <left style="hair"/>
      <right style="medium"/>
      <top style="hair"/>
      <bottom/>
    </border>
    <border>
      <left/>
      <right style="hair"/>
      <top/>
      <bottom/>
    </border>
    <border>
      <left style="thin"/>
      <right style="thin"/>
      <top/>
      <bottom/>
    </border>
    <border>
      <left style="medium"/>
      <right style="medium"/>
      <top/>
      <bottom style="medium"/>
    </border>
    <border>
      <left/>
      <right style="thin"/>
      <top/>
      <bottom/>
    </border>
    <border>
      <left style="thin"/>
      <right/>
      <top style="thin"/>
      <bottom/>
    </border>
    <border>
      <left style="thin"/>
      <right style="medium"/>
      <top/>
      <bottom style="medium"/>
    </border>
    <border>
      <left/>
      <right style="thin"/>
      <top/>
      <bottom style="thin"/>
    </border>
    <border>
      <left/>
      <right style="thin"/>
      <top style="thin"/>
      <bottom/>
    </border>
    <border>
      <left/>
      <right/>
      <top style="thin"/>
      <bottom style="thin"/>
    </border>
    <border>
      <left style="thin"/>
      <right style="medium"/>
      <top style="thin"/>
      <bottom/>
    </border>
    <border>
      <left/>
      <right style="medium"/>
      <top style="thin"/>
      <bottom style="thin"/>
    </border>
    <border>
      <left style="medium"/>
      <right style="hair"/>
      <top/>
      <bottom/>
    </border>
    <border>
      <left style="medium"/>
      <right style="thin"/>
      <top/>
      <bottom style="medium"/>
    </border>
    <border>
      <left/>
      <right style="hair"/>
      <top style="hair"/>
      <bottom/>
    </border>
    <border>
      <left style="thin"/>
      <right style="medium"/>
      <top style="thin"/>
      <bottom style="medium"/>
    </border>
    <border>
      <left style="medium"/>
      <right style="hair"/>
      <top style="hair"/>
      <bottom style="hair"/>
    </border>
    <border>
      <left style="medium"/>
      <right style="hair"/>
      <top style="hair"/>
      <bottom/>
    </border>
    <border>
      <left style="medium"/>
      <right/>
      <top style="medium"/>
      <bottom style="thin"/>
    </border>
    <border>
      <left/>
      <right style="thin"/>
      <top style="medium"/>
      <bottom style="thin"/>
    </border>
    <border>
      <left style="medium"/>
      <right/>
      <top style="thin"/>
      <bottom style="thin"/>
    </border>
    <border>
      <left/>
      <right style="thin"/>
      <top/>
      <bottom style="medium"/>
    </border>
    <border>
      <left style="thin"/>
      <right/>
      <top/>
      <bottom style="thin"/>
    </border>
    <border>
      <left/>
      <right style="medium"/>
      <top style="medium"/>
      <bottom style="thin"/>
    </border>
    <border>
      <left/>
      <right style="medium"/>
      <top style="thin"/>
      <bottom/>
    </border>
    <border>
      <left style="medium"/>
      <right style="thin"/>
      <top style="thin"/>
      <bottom style="medium"/>
    </border>
  </borders>
  <cellStyleXfs count="4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48"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8"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8"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3" borderId="0" applyNumberFormat="0" applyBorder="0" applyAlignment="0" applyProtection="0"/>
    <xf numFmtId="0" fontId="48"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8"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8" fillId="2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8" fillId="2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 fillId="32"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32" borderId="0" applyNumberFormat="0" applyBorder="0" applyAlignment="0" applyProtection="0"/>
    <xf numFmtId="0" fontId="5" fillId="3" borderId="0" applyNumberFormat="0" applyBorder="0" applyAlignment="0" applyProtection="0"/>
    <xf numFmtId="0" fontId="49" fillId="3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49" fillId="3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49" fillId="3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9"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49"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49"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32"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32" borderId="0" applyNumberFormat="0" applyBorder="0" applyAlignment="0" applyProtection="0"/>
    <xf numFmtId="0" fontId="5" fillId="46" borderId="0" applyNumberFormat="0" applyBorder="0" applyAlignment="0" applyProtection="0"/>
    <xf numFmtId="0" fontId="11" fillId="47" borderId="0" applyNumberFormat="0" applyBorder="0" applyAlignment="0" applyProtection="0"/>
    <xf numFmtId="0" fontId="50" fillId="4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2" borderId="1" applyNumberFormat="0" applyAlignment="0" applyProtection="0"/>
    <xf numFmtId="0" fontId="51" fillId="49" borderId="2" applyNumberFormat="0" applyAlignment="0" applyProtection="0"/>
    <xf numFmtId="0" fontId="7" fillId="50" borderId="1" applyNumberFormat="0" applyAlignment="0" applyProtection="0"/>
    <xf numFmtId="0" fontId="7" fillId="50" borderId="1" applyNumberFormat="0" applyAlignment="0" applyProtection="0"/>
    <xf numFmtId="0" fontId="7" fillId="50" borderId="1" applyNumberFormat="0" applyAlignment="0" applyProtection="0"/>
    <xf numFmtId="0" fontId="7" fillId="50" borderId="1" applyNumberFormat="0" applyAlignment="0" applyProtection="0"/>
    <xf numFmtId="0" fontId="7" fillId="50" borderId="1" applyNumberFormat="0" applyAlignment="0" applyProtection="0"/>
    <xf numFmtId="0" fontId="7" fillId="50" borderId="1" applyNumberFormat="0" applyAlignment="0" applyProtection="0"/>
    <xf numFmtId="0" fontId="7" fillId="50" borderId="1" applyNumberFormat="0" applyAlignment="0" applyProtection="0"/>
    <xf numFmtId="0" fontId="52" fillId="51" borderId="3" applyNumberFormat="0" applyAlignment="0" applyProtection="0"/>
    <xf numFmtId="0" fontId="8" fillId="52" borderId="4" applyNumberFormat="0" applyAlignment="0" applyProtection="0"/>
    <xf numFmtId="0" fontId="8" fillId="52" borderId="4" applyNumberFormat="0" applyAlignment="0" applyProtection="0"/>
    <xf numFmtId="0" fontId="8" fillId="52" borderId="4" applyNumberFormat="0" applyAlignment="0" applyProtection="0"/>
    <xf numFmtId="0" fontId="8" fillId="52" borderId="4" applyNumberFormat="0" applyAlignment="0" applyProtection="0"/>
    <xf numFmtId="0" fontId="8" fillId="52" borderId="4" applyNumberFormat="0" applyAlignment="0" applyProtection="0"/>
    <xf numFmtId="0" fontId="8" fillId="52" borderId="4" applyNumberFormat="0" applyAlignment="0" applyProtection="0"/>
    <xf numFmtId="0" fontId="8" fillId="52" borderId="4" applyNumberFormat="0" applyAlignment="0" applyProtection="0"/>
    <xf numFmtId="0" fontId="53"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8" fillId="53" borderId="4" applyNumberFormat="0" applyAlignment="0" applyProtection="0"/>
    <xf numFmtId="0" fontId="13" fillId="54" borderId="7">
      <alignment horizontal="left" vertical="center"/>
      <protection/>
    </xf>
    <xf numFmtId="0" fontId="49" fillId="55"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49" fillId="57"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49" fillId="59"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49" fillId="61"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49" fillId="62"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49" fillId="63"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4" fillId="65" borderId="2" applyNumberFormat="0" applyAlignment="0" applyProtection="0"/>
    <xf numFmtId="0" fontId="10" fillId="17" borderId="1" applyNumberFormat="0" applyAlignment="0" applyProtection="0"/>
    <xf numFmtId="0" fontId="10" fillId="17" borderId="1" applyNumberFormat="0" applyAlignment="0" applyProtection="0"/>
    <xf numFmtId="0" fontId="10" fillId="17" borderId="1" applyNumberFormat="0" applyAlignment="0" applyProtection="0"/>
    <xf numFmtId="0" fontId="10" fillId="17" borderId="1" applyNumberFormat="0" applyAlignment="0" applyProtection="0"/>
    <xf numFmtId="0" fontId="10" fillId="17" borderId="1" applyNumberFormat="0" applyAlignment="0" applyProtection="0"/>
    <xf numFmtId="0" fontId="10" fillId="17" borderId="1" applyNumberFormat="0" applyAlignment="0" applyProtection="0"/>
    <xf numFmtId="0" fontId="10" fillId="17" borderId="1" applyNumberFormat="0" applyAlignment="0" applyProtection="0"/>
    <xf numFmtId="167" fontId="0" fillId="0" borderId="0">
      <alignment horizontal="center" vertical="center"/>
      <protection/>
    </xf>
    <xf numFmtId="0" fontId="0" fillId="0" borderId="0">
      <alignment vertical="center"/>
      <protection/>
    </xf>
    <xf numFmtId="0" fontId="1" fillId="0" borderId="0">
      <alignment/>
      <protection/>
    </xf>
    <xf numFmtId="0" fontId="0" fillId="0" borderId="0">
      <alignment vertical="center"/>
      <protection/>
    </xf>
    <xf numFmtId="0" fontId="15" fillId="0" borderId="0" applyNumberFormat="0" applyFill="0" applyBorder="0" applyAlignment="0" applyProtection="0"/>
    <xf numFmtId="0" fontId="6" fillId="66"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37" fillId="0" borderId="0" applyNumberFormat="0" applyFill="0" applyBorder="0" applyAlignment="0" applyProtection="0"/>
    <xf numFmtId="0" fontId="55" fillId="6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0" fontId="9" fillId="0" borderId="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70" fontId="0" fillId="0" borderId="0" applyFill="0" applyBorder="0" applyAlignment="0" applyProtection="0"/>
    <xf numFmtId="164" fontId="0" fillId="0" borderId="0" applyFont="0" applyFill="0" applyBorder="0" applyAlignment="0" applyProtection="0"/>
    <xf numFmtId="0" fontId="56"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70" borderId="11" applyNumberFormat="0" applyFont="0" applyAlignment="0" applyProtection="0"/>
    <xf numFmtId="0" fontId="0" fillId="54" borderId="12" applyNumberFormat="0" applyAlignment="0" applyProtection="0"/>
    <xf numFmtId="0" fontId="0" fillId="54" borderId="12" applyNumberFormat="0" applyAlignment="0" applyProtection="0"/>
    <xf numFmtId="0" fontId="0" fillId="54" borderId="12" applyNumberFormat="0" applyAlignment="0" applyProtection="0"/>
    <xf numFmtId="0" fontId="0" fillId="54" borderId="12" applyNumberFormat="0" applyAlignment="0" applyProtection="0"/>
    <xf numFmtId="0" fontId="0" fillId="54" borderId="12" applyNumberFormat="0" applyAlignment="0" applyProtection="0"/>
    <xf numFmtId="0" fontId="0" fillId="54" borderId="12" applyNumberFormat="0" applyAlignment="0" applyProtection="0"/>
    <xf numFmtId="0" fontId="0" fillId="54" borderId="12" applyNumberFormat="0" applyAlignment="0" applyProtection="0"/>
    <xf numFmtId="0" fontId="0" fillId="4" borderId="12" applyNumberFormat="0" applyFont="0" applyAlignment="0" applyProtection="0"/>
    <xf numFmtId="0" fontId="13" fillId="2" borderId="13" applyNumberFormat="0" applyAlignment="0" applyProtection="0"/>
    <xf numFmtId="0" fontId="24" fillId="0" borderId="14" applyNumberFormat="0" applyFont="0" applyBorder="0" applyAlignment="0">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7" fillId="49" borderId="15" applyNumberFormat="0" applyAlignment="0" applyProtection="0"/>
    <xf numFmtId="0" fontId="13" fillId="50" borderId="13" applyNumberFormat="0" applyAlignment="0" applyProtection="0"/>
    <xf numFmtId="0" fontId="13" fillId="50" borderId="13" applyNumberFormat="0" applyAlignment="0" applyProtection="0"/>
    <xf numFmtId="0" fontId="13" fillId="50" borderId="13" applyNumberFormat="0" applyAlignment="0" applyProtection="0"/>
    <xf numFmtId="0" fontId="13" fillId="50" borderId="13" applyNumberFormat="0" applyAlignment="0" applyProtection="0"/>
    <xf numFmtId="0" fontId="13" fillId="50" borderId="13" applyNumberFormat="0" applyAlignment="0" applyProtection="0"/>
    <xf numFmtId="0" fontId="13" fillId="50" borderId="13" applyNumberFormat="0" applyAlignment="0" applyProtection="0"/>
    <xf numFmtId="0" fontId="13" fillId="50" borderId="13" applyNumberFormat="0" applyAlignment="0" applyProtection="0"/>
    <xf numFmtId="41"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9"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60" fillId="0" borderId="0" applyNumberFormat="0" applyFill="0" applyBorder="0" applyAlignment="0" applyProtection="0"/>
    <xf numFmtId="0" fontId="61" fillId="0" borderId="16" applyNumberFormat="0" applyFill="0" applyAlignment="0" applyProtection="0"/>
    <xf numFmtId="0" fontId="16" fillId="0" borderId="0" applyNumberFormat="0" applyFill="0" applyBorder="0" applyAlignment="0" applyProtection="0"/>
    <xf numFmtId="0" fontId="17" fillId="0" borderId="17" applyNumberFormat="0" applyFill="0" applyAlignment="0" applyProtection="0"/>
    <xf numFmtId="0" fontId="17" fillId="0" borderId="17" applyNumberFormat="0" applyFill="0" applyAlignment="0" applyProtection="0"/>
    <xf numFmtId="0" fontId="17" fillId="0" borderId="17" applyNumberFormat="0" applyFill="0" applyAlignment="0" applyProtection="0"/>
    <xf numFmtId="0" fontId="17" fillId="0" borderId="17" applyNumberFormat="0" applyFill="0" applyAlignment="0" applyProtection="0"/>
    <xf numFmtId="0" fontId="17" fillId="0" borderId="17" applyNumberFormat="0" applyFill="0" applyAlignment="0" applyProtection="0"/>
    <xf numFmtId="0" fontId="17" fillId="0" borderId="17" applyNumberFormat="0" applyFill="0" applyAlignment="0" applyProtection="0"/>
    <xf numFmtId="0" fontId="17" fillId="0" borderId="17" applyNumberFormat="0" applyFill="0" applyAlignment="0" applyProtection="0"/>
    <xf numFmtId="0" fontId="17" fillId="0" borderId="17" applyNumberFormat="0" applyFill="0" applyAlignment="0" applyProtection="0"/>
    <xf numFmtId="0" fontId="17" fillId="0" borderId="17"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2" fillId="0" borderId="18"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3"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6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4" fillId="0" borderId="21" applyNumberFormat="0" applyFill="0" applyAlignment="0" applyProtection="0"/>
    <xf numFmtId="0" fontId="20" fillId="0" borderId="22" applyNumberFormat="0" applyFill="0" applyAlignment="0" applyProtection="0"/>
    <xf numFmtId="0" fontId="20" fillId="0" borderId="22" applyNumberFormat="0" applyFill="0" applyAlignment="0" applyProtection="0"/>
    <xf numFmtId="0" fontId="20" fillId="0" borderId="22" applyNumberFormat="0" applyFill="0" applyAlignment="0" applyProtection="0"/>
    <xf numFmtId="0" fontId="20" fillId="0" borderId="22" applyNumberFormat="0" applyFill="0" applyAlignment="0" applyProtection="0"/>
    <xf numFmtId="0" fontId="20" fillId="0" borderId="22" applyNumberFormat="0" applyFill="0" applyAlignment="0" applyProtection="0"/>
    <xf numFmtId="0" fontId="20" fillId="0" borderId="22" applyNumberFormat="0" applyFill="0" applyAlignment="0" applyProtection="0"/>
    <xf numFmtId="0" fontId="20" fillId="0" borderId="22" applyNumberFormat="0" applyFill="0" applyAlignment="0" applyProtection="0"/>
    <xf numFmtId="165" fontId="0" fillId="0" borderId="0" applyFont="0" applyFill="0" applyBorder="0" applyAlignment="0" applyProtection="0"/>
    <xf numFmtId="165" fontId="0" fillId="0" borderId="0" applyFont="0" applyFill="0" applyBorder="0" applyAlignment="0" applyProtection="0"/>
    <xf numFmtId="168"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14" fillId="0" borderId="0" applyNumberFormat="0" applyFill="0" applyBorder="0" applyAlignment="0" applyProtection="0"/>
  </cellStyleXfs>
  <cellXfs count="690">
    <xf numFmtId="0" fontId="0" fillId="0" borderId="0" xfId="0" applyAlignment="1">
      <alignment/>
    </xf>
    <xf numFmtId="0" fontId="2" fillId="0" borderId="0" xfId="0" applyFont="1" applyBorder="1" applyAlignment="1" applyProtection="1">
      <alignment horizontal="left" vertical="center"/>
      <protection/>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alignment horizontal="left" vertical="center"/>
      <protection/>
    </xf>
    <xf numFmtId="0" fontId="2" fillId="0" borderId="23" xfId="0" applyFont="1" applyBorder="1" applyAlignment="1" applyProtection="1">
      <alignment vertical="center"/>
      <protection/>
    </xf>
    <xf numFmtId="0" fontId="3" fillId="0" borderId="0" xfId="0" applyFont="1" applyBorder="1" applyAlignment="1" applyProtection="1">
      <alignment horizontal="left" vertical="center"/>
      <protection/>
    </xf>
    <xf numFmtId="0" fontId="28" fillId="0" borderId="0" xfId="0" applyFont="1" applyBorder="1" applyAlignment="1" applyProtection="1">
      <alignment horizontal="left" vertical="center"/>
      <protection/>
    </xf>
    <xf numFmtId="0" fontId="2" fillId="0" borderId="24" xfId="0" applyFont="1" applyBorder="1" applyAlignment="1" applyProtection="1">
      <alignment vertical="center"/>
      <protection/>
    </xf>
    <xf numFmtId="0" fontId="2" fillId="0" borderId="24" xfId="0" applyFont="1" applyBorder="1" applyAlignment="1" applyProtection="1">
      <alignment horizontal="left" vertical="center"/>
      <protection/>
    </xf>
    <xf numFmtId="0" fontId="3" fillId="0" borderId="24" xfId="0" applyFont="1" applyBorder="1" applyAlignment="1" applyProtection="1">
      <alignment horizontal="left" vertical="center"/>
      <protection/>
    </xf>
    <xf numFmtId="0" fontId="27" fillId="0" borderId="25" xfId="0" applyFont="1" applyBorder="1" applyAlignment="1" applyProtection="1">
      <alignment horizontal="center" vertical="center"/>
      <protection/>
    </xf>
    <xf numFmtId="0" fontId="27" fillId="0" borderId="25" xfId="0" applyFont="1" applyBorder="1" applyAlignment="1" applyProtection="1">
      <alignment horizontal="left" vertical="center"/>
      <protection/>
    </xf>
    <xf numFmtId="0" fontId="30" fillId="0" borderId="25" xfId="0" applyFont="1" applyBorder="1" applyAlignment="1" applyProtection="1">
      <alignment horizontal="left" vertical="center"/>
      <protection/>
    </xf>
    <xf numFmtId="0" fontId="27" fillId="0" borderId="24" xfId="0" applyFont="1" applyBorder="1" applyAlignment="1" applyProtection="1">
      <alignment vertical="center"/>
      <protection/>
    </xf>
    <xf numFmtId="169" fontId="2" fillId="0" borderId="24" xfId="0" applyNumberFormat="1" applyFont="1" applyBorder="1" applyAlignment="1" applyProtection="1">
      <alignment horizontal="left" vertical="center"/>
      <protection/>
    </xf>
    <xf numFmtId="0" fontId="27" fillId="0" borderId="26" xfId="0" applyFont="1" applyBorder="1" applyAlignment="1" applyProtection="1">
      <alignment vertical="center"/>
      <protection/>
    </xf>
    <xf numFmtId="0" fontId="27" fillId="0" borderId="27" xfId="0" applyFont="1" applyBorder="1" applyAlignment="1" applyProtection="1">
      <alignment horizontal="left" vertical="center"/>
      <protection/>
    </xf>
    <xf numFmtId="0" fontId="2" fillId="0" borderId="26" xfId="0" applyFont="1" applyBorder="1" applyAlignment="1" applyProtection="1">
      <alignment vertical="center"/>
      <protection/>
    </xf>
    <xf numFmtId="169" fontId="2" fillId="0" borderId="28" xfId="0" applyNumberFormat="1" applyFont="1" applyBorder="1" applyAlignment="1" applyProtection="1">
      <alignment horizontal="left" vertical="center"/>
      <protection/>
    </xf>
    <xf numFmtId="0" fontId="2" fillId="0" borderId="29" xfId="0" applyFont="1" applyBorder="1" applyAlignment="1" applyProtection="1">
      <alignment vertical="center"/>
      <protection/>
    </xf>
    <xf numFmtId="0" fontId="2" fillId="0" borderId="30" xfId="0" applyFont="1" applyBorder="1" applyAlignment="1" applyProtection="1">
      <alignment vertical="center"/>
      <protection/>
    </xf>
    <xf numFmtId="0" fontId="2" fillId="0" borderId="30" xfId="0" applyFont="1" applyBorder="1" applyAlignment="1" applyProtection="1">
      <alignment horizontal="left" vertical="center"/>
      <protection/>
    </xf>
    <xf numFmtId="0" fontId="3" fillId="0" borderId="30" xfId="0" applyFont="1" applyBorder="1" applyAlignment="1" applyProtection="1">
      <alignment horizontal="left" vertical="center"/>
      <protection/>
    </xf>
    <xf numFmtId="0" fontId="2" fillId="0" borderId="31" xfId="0" applyFont="1" applyBorder="1" applyAlignment="1" applyProtection="1">
      <alignment horizontal="left" vertical="center"/>
      <protection/>
    </xf>
    <xf numFmtId="0" fontId="2" fillId="0" borderId="24" xfId="0" applyFont="1" applyBorder="1" applyAlignment="1" applyProtection="1">
      <alignment vertical="center"/>
      <protection locked="0"/>
    </xf>
    <xf numFmtId="0" fontId="2" fillId="0" borderId="24"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0" fontId="2" fillId="0" borderId="24" xfId="0" applyFont="1" applyBorder="1" applyAlignment="1" applyProtection="1">
      <alignment horizontal="left" vertical="center" wrapText="1"/>
      <protection/>
    </xf>
    <xf numFmtId="0" fontId="65" fillId="0" borderId="32" xfId="0" applyFont="1" applyBorder="1" applyAlignment="1">
      <alignment horizontal="center"/>
    </xf>
    <xf numFmtId="0" fontId="65" fillId="0" borderId="33" xfId="0" applyFont="1" applyBorder="1" applyAlignment="1">
      <alignment/>
    </xf>
    <xf numFmtId="0" fontId="65" fillId="0" borderId="33" xfId="0" applyFont="1" applyBorder="1" applyAlignment="1">
      <alignment horizontal="center"/>
    </xf>
    <xf numFmtId="0" fontId="65" fillId="0" borderId="34" xfId="0" applyFont="1" applyBorder="1" applyAlignment="1">
      <alignment/>
    </xf>
    <xf numFmtId="0" fontId="65" fillId="0" borderId="23" xfId="0" applyFont="1" applyBorder="1" applyAlignment="1">
      <alignment horizontal="center"/>
    </xf>
    <xf numFmtId="0" fontId="65" fillId="0" borderId="0" xfId="0" applyFont="1" applyBorder="1" applyAlignment="1">
      <alignment/>
    </xf>
    <xf numFmtId="0" fontId="65" fillId="0" borderId="35" xfId="0" applyFont="1" applyBorder="1" applyAlignment="1">
      <alignment/>
    </xf>
    <xf numFmtId="0" fontId="66" fillId="0" borderId="0" xfId="0" applyFont="1" applyBorder="1" applyAlignment="1">
      <alignment horizontal="center"/>
    </xf>
    <xf numFmtId="2" fontId="66" fillId="0" borderId="0" xfId="0" applyNumberFormat="1" applyFont="1" applyBorder="1" applyAlignment="1">
      <alignment horizontal="center"/>
    </xf>
    <xf numFmtId="2" fontId="65" fillId="0" borderId="0" xfId="0" applyNumberFormat="1" applyFont="1" applyBorder="1" applyAlignment="1">
      <alignment horizontal="center" vertical="center"/>
    </xf>
    <xf numFmtId="2" fontId="65" fillId="0" borderId="35" xfId="0" applyNumberFormat="1" applyFont="1" applyBorder="1" applyAlignment="1">
      <alignment horizontal="center"/>
    </xf>
    <xf numFmtId="0" fontId="66" fillId="0" borderId="23" xfId="0" applyFont="1" applyFill="1" applyBorder="1" applyAlignment="1">
      <alignment horizontal="center" vertical="center"/>
    </xf>
    <xf numFmtId="2" fontId="0" fillId="0" borderId="0" xfId="0" applyNumberFormat="1" applyFont="1" applyBorder="1" applyAlignment="1">
      <alignment horizontal="center" vertical="center"/>
    </xf>
    <xf numFmtId="0" fontId="67" fillId="0" borderId="0" xfId="0" applyFont="1" applyBorder="1" applyAlignment="1">
      <alignment horizontal="left" vertical="center" wrapText="1"/>
    </xf>
    <xf numFmtId="2" fontId="67" fillId="0" borderId="0" xfId="0" applyNumberFormat="1" applyFont="1" applyBorder="1" applyAlignment="1">
      <alignment horizontal="center" vertical="center"/>
    </xf>
    <xf numFmtId="0" fontId="67" fillId="0" borderId="35" xfId="0" applyFont="1" applyBorder="1" applyAlignment="1">
      <alignment horizontal="center" vertical="center"/>
    </xf>
    <xf numFmtId="0" fontId="65" fillId="0" borderId="0" xfId="0" applyFont="1" applyBorder="1" applyAlignment="1">
      <alignment horizontal="center"/>
    </xf>
    <xf numFmtId="0" fontId="65" fillId="0" borderId="32" xfId="0" applyFont="1" applyBorder="1" applyAlignment="1">
      <alignment horizontal="center" vertical="center"/>
    </xf>
    <xf numFmtId="0" fontId="66" fillId="0" borderId="29" xfId="0" applyFont="1" applyFill="1" applyBorder="1" applyAlignment="1">
      <alignment horizontal="center" vertical="center"/>
    </xf>
    <xf numFmtId="0" fontId="65" fillId="0" borderId="29" xfId="0" applyFont="1" applyBorder="1" applyAlignment="1">
      <alignment horizontal="center" vertical="center"/>
    </xf>
    <xf numFmtId="0" fontId="65" fillId="0" borderId="0" xfId="0" applyFont="1" applyBorder="1" applyAlignment="1">
      <alignment vertical="center"/>
    </xf>
    <xf numFmtId="0" fontId="65" fillId="0" borderId="0" xfId="0" applyFont="1" applyBorder="1" applyAlignment="1">
      <alignment horizontal="center" vertical="center"/>
    </xf>
    <xf numFmtId="2" fontId="65" fillId="0" borderId="0" xfId="0" applyNumberFormat="1" applyFont="1" applyBorder="1" applyAlignment="1">
      <alignment vertical="center"/>
    </xf>
    <xf numFmtId="0" fontId="0" fillId="0" borderId="0" xfId="0" applyBorder="1" applyAlignment="1">
      <alignment/>
    </xf>
    <xf numFmtId="0" fontId="65" fillId="0" borderId="23" xfId="0" applyFont="1" applyBorder="1" applyAlignment="1">
      <alignment vertical="center"/>
    </xf>
    <xf numFmtId="0" fontId="0" fillId="0" borderId="23" xfId="0" applyBorder="1" applyAlignment="1">
      <alignment/>
    </xf>
    <xf numFmtId="0" fontId="0" fillId="0" borderId="35" xfId="0" applyBorder="1" applyAlignment="1">
      <alignment/>
    </xf>
    <xf numFmtId="0" fontId="65" fillId="0" borderId="30" xfId="0" applyFont="1" applyBorder="1" applyAlignment="1">
      <alignment horizontal="center"/>
    </xf>
    <xf numFmtId="0" fontId="0" fillId="0" borderId="0" xfId="0" applyFont="1" applyBorder="1" applyAlignment="1">
      <alignment horizontal="center"/>
    </xf>
    <xf numFmtId="0" fontId="0" fillId="0" borderId="36" xfId="0" applyFont="1" applyBorder="1" applyAlignment="1">
      <alignment/>
    </xf>
    <xf numFmtId="0" fontId="0" fillId="0" borderId="0" xfId="0" applyFont="1" applyAlignment="1">
      <alignment/>
    </xf>
    <xf numFmtId="0" fontId="66" fillId="0" borderId="30" xfId="0" applyFont="1" applyBorder="1" applyAlignment="1">
      <alignment horizontal="center"/>
    </xf>
    <xf numFmtId="0" fontId="65" fillId="0" borderId="31" xfId="0" applyFont="1" applyBorder="1" applyAlignment="1">
      <alignment/>
    </xf>
    <xf numFmtId="0" fontId="65" fillId="0" borderId="37" xfId="0" applyFont="1" applyBorder="1" applyAlignment="1">
      <alignment/>
    </xf>
    <xf numFmtId="0" fontId="0" fillId="0" borderId="38" xfId="0" applyBorder="1" applyAlignment="1">
      <alignment/>
    </xf>
    <xf numFmtId="0" fontId="65" fillId="0" borderId="29" xfId="0" applyFont="1" applyBorder="1" applyAlignment="1">
      <alignment horizontal="center"/>
    </xf>
    <xf numFmtId="0" fontId="65" fillId="0" borderId="23" xfId="0" applyFont="1" applyFill="1" applyBorder="1" applyAlignment="1">
      <alignment horizontal="center" vertical="center"/>
    </xf>
    <xf numFmtId="2" fontId="65" fillId="0" borderId="0" xfId="0" applyNumberFormat="1" applyFont="1" applyFill="1" applyBorder="1" applyAlignment="1">
      <alignment horizontal="center" vertical="center"/>
    </xf>
    <xf numFmtId="0" fontId="0" fillId="0" borderId="39" xfId="0" applyBorder="1" applyAlignment="1">
      <alignment/>
    </xf>
    <xf numFmtId="2" fontId="66" fillId="0" borderId="30" xfId="0" applyNumberFormat="1" applyFont="1" applyBorder="1" applyAlignment="1">
      <alignment horizontal="center"/>
    </xf>
    <xf numFmtId="0" fontId="65" fillId="0" borderId="23" xfId="0" applyFont="1" applyBorder="1" applyAlignment="1">
      <alignment horizontal="center" vertical="center"/>
    </xf>
    <xf numFmtId="0" fontId="65" fillId="0" borderId="0" xfId="0" applyFont="1" applyBorder="1" applyAlignment="1">
      <alignment horizontal="center" vertical="center" wrapText="1"/>
    </xf>
    <xf numFmtId="2" fontId="0" fillId="0" borderId="40" xfId="0" applyNumberFormat="1" applyFont="1" applyBorder="1" applyAlignment="1">
      <alignment horizontal="center" vertical="center"/>
    </xf>
    <xf numFmtId="0" fontId="65" fillId="0" borderId="40" xfId="0" applyFont="1" applyBorder="1" applyAlignment="1">
      <alignment horizontal="center" vertical="center" wrapText="1"/>
    </xf>
    <xf numFmtId="2" fontId="0" fillId="0" borderId="0" xfId="0" applyNumberFormat="1" applyFont="1" applyBorder="1" applyAlignment="1">
      <alignment horizontal="center"/>
    </xf>
    <xf numFmtId="0" fontId="65" fillId="0" borderId="39" xfId="0" applyFont="1" applyBorder="1" applyAlignment="1">
      <alignment/>
    </xf>
    <xf numFmtId="0" fontId="0" fillId="0" borderId="41" xfId="0" applyBorder="1" applyAlignment="1">
      <alignment/>
    </xf>
    <xf numFmtId="0" fontId="65" fillId="0" borderId="42" xfId="0" applyFont="1" applyBorder="1" applyAlignment="1">
      <alignment horizontal="center" vertical="center" wrapText="1"/>
    </xf>
    <xf numFmtId="2" fontId="4" fillId="0" borderId="0" xfId="0" applyNumberFormat="1" applyFont="1" applyBorder="1" applyAlignment="1">
      <alignment horizontal="center" vertical="center"/>
    </xf>
    <xf numFmtId="0" fontId="66" fillId="0" borderId="43" xfId="0" applyFont="1" applyBorder="1" applyAlignment="1">
      <alignment horizontal="center"/>
    </xf>
    <xf numFmtId="0" fontId="66" fillId="71" borderId="44" xfId="0" applyFont="1" applyFill="1" applyBorder="1" applyAlignment="1">
      <alignment horizontal="center" vertical="center"/>
    </xf>
    <xf numFmtId="0" fontId="65" fillId="72" borderId="44" xfId="0" applyFont="1" applyFill="1" applyBorder="1" applyAlignment="1">
      <alignment horizontal="center" vertical="center"/>
    </xf>
    <xf numFmtId="2" fontId="65" fillId="72" borderId="44" xfId="0" applyNumberFormat="1" applyFont="1" applyFill="1" applyBorder="1" applyAlignment="1">
      <alignment horizontal="center" vertical="center"/>
    </xf>
    <xf numFmtId="0" fontId="65" fillId="71" borderId="45" xfId="0" applyFont="1" applyFill="1" applyBorder="1" applyAlignment="1">
      <alignment/>
    </xf>
    <xf numFmtId="0" fontId="0" fillId="0" borderId="30" xfId="0" applyBorder="1" applyAlignment="1">
      <alignment/>
    </xf>
    <xf numFmtId="2" fontId="0" fillId="0" borderId="42" xfId="0" applyNumberFormat="1" applyFont="1" applyBorder="1" applyAlignment="1">
      <alignment horizontal="center"/>
    </xf>
    <xf numFmtId="0" fontId="0" fillId="0" borderId="0" xfId="0" applyFont="1" applyAlignment="1">
      <alignment vertical="center"/>
    </xf>
    <xf numFmtId="0" fontId="65" fillId="0" borderId="42" xfId="0" applyFont="1" applyBorder="1" applyAlignment="1">
      <alignment horizontal="center"/>
    </xf>
    <xf numFmtId="2" fontId="4" fillId="0" borderId="43" xfId="0" applyNumberFormat="1" applyFont="1" applyBorder="1" applyAlignment="1">
      <alignment horizontal="center" vertical="center"/>
    </xf>
    <xf numFmtId="0" fontId="65" fillId="0" borderId="25" xfId="0" applyFont="1" applyBorder="1" applyAlignment="1">
      <alignment horizontal="center" wrapText="1"/>
    </xf>
    <xf numFmtId="2" fontId="0" fillId="0" borderId="25" xfId="0" applyNumberFormat="1" applyFont="1" applyBorder="1" applyAlignment="1">
      <alignment horizontal="center"/>
    </xf>
    <xf numFmtId="0" fontId="65" fillId="0" borderId="35" xfId="0" applyFont="1" applyBorder="1" applyAlignment="1">
      <alignment horizontal="center"/>
    </xf>
    <xf numFmtId="2" fontId="0" fillId="0" borderId="24" xfId="0" applyNumberFormat="1" applyFont="1" applyBorder="1" applyAlignment="1">
      <alignment horizontal="center"/>
    </xf>
    <xf numFmtId="0" fontId="65" fillId="0" borderId="24" xfId="0" applyFont="1" applyBorder="1" applyAlignment="1">
      <alignment horizontal="center"/>
    </xf>
    <xf numFmtId="0" fontId="65" fillId="0" borderId="34" xfId="0" applyFont="1" applyFill="1" applyBorder="1" applyAlignment="1">
      <alignment horizontal="center" vertical="center"/>
    </xf>
    <xf numFmtId="0" fontId="65" fillId="0" borderId="35" xfId="0" applyFont="1" applyBorder="1" applyAlignment="1">
      <alignment horizontal="center" vertical="center"/>
    </xf>
    <xf numFmtId="2" fontId="0" fillId="0" borderId="0" xfId="0" applyNumberFormat="1" applyFont="1" applyAlignment="1">
      <alignment/>
    </xf>
    <xf numFmtId="0" fontId="3" fillId="0" borderId="0" xfId="0" applyFont="1" applyAlignment="1">
      <alignment vertical="center"/>
    </xf>
    <xf numFmtId="0" fontId="65" fillId="0" borderId="30" xfId="0" applyFont="1" applyBorder="1" applyAlignment="1">
      <alignment/>
    </xf>
    <xf numFmtId="0" fontId="0" fillId="0" borderId="35" xfId="0" applyFont="1" applyBorder="1" applyAlignment="1">
      <alignment horizontal="center" vertical="center"/>
    </xf>
    <xf numFmtId="0" fontId="3" fillId="0" borderId="35" xfId="0" applyFont="1" applyBorder="1" applyAlignment="1">
      <alignment horizontal="center" vertical="center"/>
    </xf>
    <xf numFmtId="0" fontId="0" fillId="0" borderId="35" xfId="0" applyFont="1" applyBorder="1" applyAlignment="1">
      <alignment/>
    </xf>
    <xf numFmtId="0" fontId="0" fillId="0" borderId="46" xfId="0" applyBorder="1" applyAlignment="1">
      <alignment/>
    </xf>
    <xf numFmtId="0" fontId="0" fillId="0" borderId="46" xfId="0" applyFont="1" applyBorder="1" applyAlignment="1">
      <alignment vertical="center"/>
    </xf>
    <xf numFmtId="0" fontId="65" fillId="0" borderId="24" xfId="0" applyFont="1" applyBorder="1" applyAlignment="1">
      <alignment horizontal="center" vertical="center"/>
    </xf>
    <xf numFmtId="0" fontId="65" fillId="0" borderId="24" xfId="0" applyFont="1" applyBorder="1" applyAlignment="1">
      <alignment horizontal="center" wrapText="1"/>
    </xf>
    <xf numFmtId="0" fontId="0" fillId="0" borderId="24" xfId="0" applyBorder="1" applyAlignment="1">
      <alignment horizontal="center" vertical="center"/>
    </xf>
    <xf numFmtId="0" fontId="65" fillId="0" borderId="24" xfId="0" applyFont="1" applyBorder="1" applyAlignment="1">
      <alignment horizontal="center" vertical="center" wrapText="1"/>
    </xf>
    <xf numFmtId="2" fontId="0" fillId="0" borderId="24" xfId="0" applyNumberFormat="1" applyFont="1" applyBorder="1" applyAlignment="1">
      <alignment horizontal="center" vertical="center"/>
    </xf>
    <xf numFmtId="2" fontId="65" fillId="0" borderId="24" xfId="0" applyNumberFormat="1" applyFont="1" applyBorder="1" applyAlignment="1">
      <alignment horizontal="center" vertical="center"/>
    </xf>
    <xf numFmtId="0" fontId="0" fillId="0" borderId="24" xfId="0" applyFont="1" applyBorder="1" applyAlignment="1">
      <alignment horizontal="center" vertical="center"/>
    </xf>
    <xf numFmtId="2" fontId="65" fillId="0" borderId="28" xfId="0" applyNumberFormat="1" applyFont="1" applyBorder="1" applyAlignment="1">
      <alignment horizontal="center" vertical="center"/>
    </xf>
    <xf numFmtId="2" fontId="65" fillId="0" borderId="47" xfId="0" applyNumberFormat="1" applyFont="1" applyBorder="1" applyAlignment="1">
      <alignment horizontal="center" vertical="center"/>
    </xf>
    <xf numFmtId="2" fontId="65" fillId="0" borderId="24" xfId="0" applyNumberFormat="1" applyFont="1" applyBorder="1" applyAlignment="1">
      <alignment horizontal="center"/>
    </xf>
    <xf numFmtId="2" fontId="0" fillId="0" borderId="24" xfId="0" applyNumberFormat="1" applyFont="1" applyFill="1" applyBorder="1" applyAlignment="1">
      <alignment horizontal="center" vertical="center"/>
    </xf>
    <xf numFmtId="0" fontId="66" fillId="0" borderId="24" xfId="0" applyFont="1" applyBorder="1" applyAlignment="1">
      <alignment horizontal="center" vertical="center"/>
    </xf>
    <xf numFmtId="2" fontId="4" fillId="0" borderId="24" xfId="0" applyNumberFormat="1" applyFont="1" applyFill="1" applyBorder="1" applyAlignment="1">
      <alignment horizontal="center" vertical="center"/>
    </xf>
    <xf numFmtId="0" fontId="0" fillId="0" borderId="23" xfId="0" applyFont="1" applyBorder="1" applyAlignment="1">
      <alignment vertical="center"/>
    </xf>
    <xf numFmtId="0" fontId="0" fillId="0" borderId="0" xfId="0" applyFont="1" applyBorder="1" applyAlignment="1">
      <alignment vertical="center"/>
    </xf>
    <xf numFmtId="0" fontId="0" fillId="0" borderId="23" xfId="0" applyFont="1" applyBorder="1" applyAlignment="1">
      <alignment/>
    </xf>
    <xf numFmtId="0" fontId="0" fillId="0" borderId="0" xfId="0" applyFont="1" applyBorder="1" applyAlignment="1">
      <alignment/>
    </xf>
    <xf numFmtId="0" fontId="0" fillId="0" borderId="0" xfId="0" applyBorder="1" applyAlignment="1">
      <alignment vertical="center"/>
    </xf>
    <xf numFmtId="0" fontId="4" fillId="0" borderId="43"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8" xfId="0" applyFont="1" applyFill="1" applyBorder="1" applyAlignment="1">
      <alignment horizontal="center" vertical="center"/>
    </xf>
    <xf numFmtId="10" fontId="4" fillId="0" borderId="49" xfId="329" applyNumberFormat="1" applyFont="1" applyFill="1" applyBorder="1" applyAlignment="1">
      <alignment horizontal="center"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35" fillId="71" borderId="53" xfId="0" applyNumberFormat="1" applyFont="1" applyFill="1" applyBorder="1" applyAlignment="1">
      <alignment horizontal="center" vertical="center" wrapText="1"/>
    </xf>
    <xf numFmtId="0" fontId="35" fillId="71" borderId="54" xfId="0" applyNumberFormat="1" applyFont="1" applyFill="1" applyBorder="1" applyAlignment="1">
      <alignment horizontal="center" vertical="center" wrapText="1"/>
    </xf>
    <xf numFmtId="0" fontId="35" fillId="71" borderId="54" xfId="0" applyNumberFormat="1" applyFont="1" applyFill="1" applyBorder="1" applyAlignment="1">
      <alignment horizontal="left" vertical="center" wrapText="1"/>
    </xf>
    <xf numFmtId="0" fontId="3" fillId="71" borderId="54" xfId="420" applyNumberFormat="1" applyFont="1" applyFill="1" applyBorder="1" applyAlignment="1">
      <alignment horizontal="center" vertical="center" wrapText="1"/>
    </xf>
    <xf numFmtId="4" fontId="3" fillId="71" borderId="54" xfId="0" applyNumberFormat="1" applyFont="1" applyFill="1" applyBorder="1" applyAlignment="1">
      <alignment horizontal="center" vertical="center" wrapText="1"/>
    </xf>
    <xf numFmtId="4" fontId="35" fillId="71" borderId="55" xfId="0" applyNumberFormat="1" applyFont="1" applyFill="1" applyBorder="1" applyAlignment="1">
      <alignment horizontal="center" vertical="center" wrapText="1"/>
    </xf>
    <xf numFmtId="4" fontId="35" fillId="71" borderId="56" xfId="0" applyNumberFormat="1" applyFont="1" applyFill="1" applyBorder="1" applyAlignment="1">
      <alignment horizontal="center" vertical="center" wrapText="1"/>
    </xf>
    <xf numFmtId="0" fontId="0" fillId="0" borderId="0" xfId="0" applyFont="1" applyAlignment="1">
      <alignment/>
    </xf>
    <xf numFmtId="0" fontId="0" fillId="0" borderId="0" xfId="0" applyFont="1" applyAlignment="1">
      <alignment vertical="center"/>
    </xf>
    <xf numFmtId="0" fontId="0" fillId="73" borderId="0" xfId="0" applyFont="1" applyFill="1" applyAlignment="1">
      <alignment/>
    </xf>
    <xf numFmtId="2" fontId="0" fillId="73" borderId="0" xfId="0" applyNumberFormat="1" applyFont="1" applyFill="1" applyAlignment="1">
      <alignment vertical="center"/>
    </xf>
    <xf numFmtId="2" fontId="0" fillId="0" borderId="0" xfId="0" applyNumberFormat="1" applyFont="1" applyAlignment="1">
      <alignment vertical="center"/>
    </xf>
    <xf numFmtId="0" fontId="35" fillId="71" borderId="55" xfId="0" applyNumberFormat="1" applyFont="1" applyFill="1" applyBorder="1" applyAlignment="1">
      <alignment horizontal="center" vertical="center" wrapText="1"/>
    </xf>
    <xf numFmtId="0" fontId="35" fillId="71" borderId="55" xfId="0" applyNumberFormat="1" applyFont="1" applyFill="1" applyBorder="1" applyAlignment="1">
      <alignment horizontal="left" vertical="center" wrapText="1"/>
    </xf>
    <xf numFmtId="0" fontId="3" fillId="71" borderId="55" xfId="420" applyNumberFormat="1" applyFont="1" applyFill="1" applyBorder="1" applyAlignment="1">
      <alignment horizontal="center" vertical="center" wrapText="1"/>
    </xf>
    <xf numFmtId="4" fontId="3" fillId="71" borderId="55" xfId="0" applyNumberFormat="1" applyFont="1" applyFill="1" applyBorder="1" applyAlignment="1">
      <alignment horizontal="center" vertical="center" wrapText="1"/>
    </xf>
    <xf numFmtId="4" fontId="0" fillId="0" borderId="0" xfId="0" applyNumberFormat="1" applyFont="1" applyAlignment="1">
      <alignment/>
    </xf>
    <xf numFmtId="4" fontId="35" fillId="71" borderId="57" xfId="0" applyNumberFormat="1" applyFont="1" applyFill="1" applyBorder="1" applyAlignment="1">
      <alignment horizontal="center" vertical="center" wrapText="1"/>
    </xf>
    <xf numFmtId="171" fontId="0" fillId="0" borderId="0" xfId="0" applyNumberFormat="1" applyAlignment="1">
      <alignment/>
    </xf>
    <xf numFmtId="4" fontId="35" fillId="0" borderId="44" xfId="0" applyNumberFormat="1" applyFont="1" applyBorder="1" applyAlignment="1">
      <alignment horizontal="center" vertical="center" wrapText="1"/>
    </xf>
    <xf numFmtId="0" fontId="3" fillId="0" borderId="0" xfId="0" applyFont="1" applyBorder="1" applyAlignment="1">
      <alignment vertical="center"/>
    </xf>
    <xf numFmtId="0" fontId="0" fillId="0" borderId="0" xfId="0" applyAlignment="1">
      <alignment vertical="center"/>
    </xf>
    <xf numFmtId="2" fontId="0" fillId="0" borderId="0" xfId="312" applyNumberFormat="1">
      <alignment/>
      <protection/>
    </xf>
    <xf numFmtId="0" fontId="0" fillId="0" borderId="0" xfId="312">
      <alignment/>
      <protection/>
    </xf>
    <xf numFmtId="2" fontId="4" fillId="0" borderId="24" xfId="312" applyNumberFormat="1" applyFont="1" applyBorder="1" applyAlignment="1">
      <alignment horizontal="center"/>
      <protection/>
    </xf>
    <xf numFmtId="2" fontId="0" fillId="0" borderId="24" xfId="312" applyNumberFormat="1" applyBorder="1" applyAlignment="1">
      <alignment horizontal="center"/>
      <protection/>
    </xf>
    <xf numFmtId="0" fontId="0" fillId="0" borderId="24" xfId="312" applyBorder="1" applyAlignment="1">
      <alignment horizontal="center"/>
      <protection/>
    </xf>
    <xf numFmtId="0" fontId="0" fillId="0" borderId="0" xfId="312" applyAlignment="1">
      <alignment horizontal="center" vertical="center"/>
      <protection/>
    </xf>
    <xf numFmtId="0" fontId="0" fillId="0" borderId="0" xfId="312" applyAlignment="1">
      <alignment/>
      <protection/>
    </xf>
    <xf numFmtId="0" fontId="0" fillId="2" borderId="0" xfId="312" applyFill="1">
      <alignment/>
      <protection/>
    </xf>
    <xf numFmtId="0" fontId="4" fillId="2" borderId="26" xfId="312" applyFont="1" applyFill="1" applyBorder="1" applyAlignment="1">
      <alignment horizontal="center" vertical="center"/>
      <protection/>
    </xf>
    <xf numFmtId="0" fontId="4" fillId="2" borderId="25" xfId="312" applyFont="1" applyFill="1" applyBorder="1" applyAlignment="1">
      <alignment horizontal="center" vertical="center"/>
      <protection/>
    </xf>
    <xf numFmtId="49" fontId="2" fillId="2" borderId="24" xfId="312" applyNumberFormat="1" applyFont="1" applyFill="1" applyBorder="1" applyAlignment="1">
      <alignment horizontal="center" vertical="top" wrapText="1"/>
      <protection/>
    </xf>
    <xf numFmtId="10" fontId="2" fillId="2" borderId="24" xfId="312" applyNumberFormat="1" applyFont="1" applyFill="1" applyBorder="1" applyAlignment="1">
      <alignment vertical="top" wrapText="1"/>
      <protection/>
    </xf>
    <xf numFmtId="10" fontId="2" fillId="2" borderId="24" xfId="418" applyNumberFormat="1" applyFont="1" applyFill="1" applyBorder="1" applyAlignment="1">
      <alignment vertical="top" wrapText="1"/>
    </xf>
    <xf numFmtId="172" fontId="2" fillId="2" borderId="24" xfId="312" applyNumberFormat="1" applyFont="1" applyFill="1" applyBorder="1" applyAlignment="1">
      <alignment vertical="top" wrapText="1"/>
      <protection/>
    </xf>
    <xf numFmtId="0" fontId="0" fillId="2" borderId="24" xfId="312" applyFill="1" applyBorder="1">
      <alignment/>
      <protection/>
    </xf>
    <xf numFmtId="0" fontId="68" fillId="0" borderId="24" xfId="0" applyFont="1" applyFill="1" applyBorder="1" applyAlignment="1">
      <alignment horizontal="left" vertical="center"/>
    </xf>
    <xf numFmtId="173" fontId="2" fillId="2" borderId="24" xfId="301" applyNumberFormat="1" applyFont="1" applyFill="1" applyBorder="1" applyAlignment="1">
      <alignment vertical="top" wrapText="1"/>
    </xf>
    <xf numFmtId="173" fontId="2" fillId="2" borderId="24" xfId="312" applyNumberFormat="1" applyFont="1" applyFill="1" applyBorder="1" applyAlignment="1">
      <alignment vertical="top" wrapText="1"/>
      <protection/>
    </xf>
    <xf numFmtId="49" fontId="39" fillId="2" borderId="24" xfId="312" applyNumberFormat="1" applyFont="1" applyFill="1" applyBorder="1" applyAlignment="1">
      <alignment horizontal="center" vertical="top" wrapText="1"/>
      <protection/>
    </xf>
    <xf numFmtId="10" fontId="39" fillId="2" borderId="24" xfId="312" applyNumberFormat="1" applyFont="1" applyFill="1" applyBorder="1" applyAlignment="1">
      <alignment vertical="top" wrapText="1"/>
      <protection/>
    </xf>
    <xf numFmtId="49" fontId="39" fillId="2" borderId="58" xfId="312" applyNumberFormat="1" applyFont="1" applyFill="1" applyBorder="1" applyAlignment="1">
      <alignment horizontal="center" vertical="top" wrapText="1"/>
      <protection/>
    </xf>
    <xf numFmtId="172" fontId="39" fillId="2" borderId="58" xfId="312" applyNumberFormat="1" applyFont="1" applyFill="1" applyBorder="1" applyAlignment="1">
      <alignment vertical="top" wrapText="1"/>
      <protection/>
    </xf>
    <xf numFmtId="0" fontId="0" fillId="2" borderId="0" xfId="312" applyFill="1" applyAlignment="1">
      <alignment wrapText="1"/>
      <protection/>
    </xf>
    <xf numFmtId="0" fontId="3" fillId="71" borderId="59" xfId="0" applyNumberFormat="1" applyFont="1" applyFill="1" applyBorder="1" applyAlignment="1">
      <alignment horizontal="center" vertical="center"/>
    </xf>
    <xf numFmtId="0" fontId="35" fillId="71" borderId="59" xfId="0" applyNumberFormat="1" applyFont="1" applyFill="1" applyBorder="1" applyAlignment="1">
      <alignment horizontal="left" vertical="center"/>
    </xf>
    <xf numFmtId="4" fontId="3" fillId="71" borderId="60" xfId="420" applyNumberFormat="1" applyFont="1" applyFill="1" applyBorder="1" applyAlignment="1">
      <alignment horizontal="center" vertical="center"/>
    </xf>
    <xf numFmtId="0" fontId="0" fillId="73" borderId="40" xfId="0" applyFont="1" applyFill="1" applyBorder="1" applyAlignment="1">
      <alignment/>
    </xf>
    <xf numFmtId="0" fontId="3" fillId="74" borderId="53" xfId="0" applyNumberFormat="1" applyFont="1" applyFill="1" applyBorder="1" applyAlignment="1">
      <alignment horizontal="center" vertical="center" wrapText="1"/>
    </xf>
    <xf numFmtId="0" fontId="69" fillId="74" borderId="54" xfId="0" applyFont="1" applyFill="1" applyBorder="1" applyAlignment="1">
      <alignment vertical="center" wrapText="1"/>
    </xf>
    <xf numFmtId="4" fontId="3" fillId="74" borderId="54" xfId="0" applyNumberFormat="1" applyFont="1" applyFill="1" applyBorder="1" applyAlignment="1">
      <alignment horizontal="center" vertical="center" wrapText="1"/>
    </xf>
    <xf numFmtId="4" fontId="3" fillId="74" borderId="56" xfId="0" applyNumberFormat="1" applyFont="1" applyFill="1" applyBorder="1" applyAlignment="1">
      <alignment horizontal="center" vertical="center" wrapText="1"/>
    </xf>
    <xf numFmtId="49" fontId="3" fillId="74" borderId="61" xfId="0" applyNumberFormat="1" applyFont="1" applyFill="1" applyBorder="1" applyAlignment="1">
      <alignment horizontal="center" vertical="center" wrapText="1"/>
    </xf>
    <xf numFmtId="4" fontId="3" fillId="74" borderId="62" xfId="420" applyNumberFormat="1" applyFont="1" applyFill="1" applyBorder="1" applyAlignment="1">
      <alignment horizontal="center" vertical="center" wrapText="1"/>
    </xf>
    <xf numFmtId="4" fontId="3" fillId="74" borderId="62" xfId="0" applyNumberFormat="1" applyFont="1" applyFill="1" applyBorder="1" applyAlignment="1">
      <alignment horizontal="center" vertical="center" wrapText="1"/>
    </xf>
    <xf numFmtId="0" fontId="35" fillId="71" borderId="63" xfId="0" applyNumberFormat="1" applyFont="1" applyFill="1" applyBorder="1" applyAlignment="1">
      <alignment horizontal="center" vertical="center" wrapText="1"/>
    </xf>
    <xf numFmtId="0" fontId="35" fillId="71" borderId="59" xfId="0" applyNumberFormat="1" applyFont="1" applyFill="1" applyBorder="1" applyAlignment="1">
      <alignment horizontal="center" vertical="center" wrapText="1"/>
    </xf>
    <xf numFmtId="0" fontId="35" fillId="71" borderId="59" xfId="0" applyNumberFormat="1" applyFont="1" applyFill="1" applyBorder="1" applyAlignment="1">
      <alignment horizontal="left" vertical="center" wrapText="1"/>
    </xf>
    <xf numFmtId="0" fontId="3" fillId="71" borderId="59" xfId="420" applyNumberFormat="1" applyFont="1" applyFill="1" applyBorder="1" applyAlignment="1">
      <alignment horizontal="center" vertical="center" wrapText="1"/>
    </xf>
    <xf numFmtId="4" fontId="3" fillId="71" borderId="59" xfId="0" applyNumberFormat="1" applyFont="1" applyFill="1" applyBorder="1" applyAlignment="1">
      <alignment horizontal="center" vertical="center" wrapText="1"/>
    </xf>
    <xf numFmtId="4" fontId="35" fillId="71" borderId="59" xfId="0" applyNumberFormat="1" applyFont="1" applyFill="1" applyBorder="1" applyAlignment="1">
      <alignment horizontal="center" vertical="center" wrapText="1"/>
    </xf>
    <xf numFmtId="4" fontId="35" fillId="71" borderId="64" xfId="0" applyNumberFormat="1" applyFont="1" applyFill="1" applyBorder="1" applyAlignment="1">
      <alignment horizontal="center" vertical="center" wrapText="1"/>
    </xf>
    <xf numFmtId="0" fontId="0" fillId="0" borderId="40" xfId="0" applyFont="1" applyBorder="1" applyAlignment="1">
      <alignment/>
    </xf>
    <xf numFmtId="2" fontId="0" fillId="0" borderId="40" xfId="0" applyNumberFormat="1" applyFont="1" applyBorder="1" applyAlignment="1">
      <alignment vertical="center"/>
    </xf>
    <xf numFmtId="4" fontId="35" fillId="71" borderId="60" xfId="420" applyNumberFormat="1" applyFont="1" applyFill="1" applyBorder="1" applyAlignment="1">
      <alignment horizontal="center" vertical="center"/>
    </xf>
    <xf numFmtId="0" fontId="0" fillId="0" borderId="0" xfId="0" applyFont="1" applyFill="1" applyBorder="1" applyAlignment="1">
      <alignment horizontal="left" vertical="center" wrapText="1"/>
    </xf>
    <xf numFmtId="0" fontId="65" fillId="0" borderId="24" xfId="0" applyFont="1" applyBorder="1" applyAlignment="1">
      <alignment/>
    </xf>
    <xf numFmtId="0" fontId="66" fillId="0" borderId="24" xfId="0" applyFont="1" applyBorder="1" applyAlignment="1">
      <alignment horizontal="center"/>
    </xf>
    <xf numFmtId="2" fontId="66" fillId="0" borderId="24" xfId="0" applyNumberFormat="1" applyFont="1" applyBorder="1" applyAlignment="1">
      <alignment horizontal="center"/>
    </xf>
    <xf numFmtId="0" fontId="65" fillId="0" borderId="42" xfId="0" applyFont="1" applyBorder="1" applyAlignment="1">
      <alignment/>
    </xf>
    <xf numFmtId="0" fontId="65" fillId="74" borderId="23" xfId="0" applyFont="1" applyFill="1" applyBorder="1" applyAlignment="1">
      <alignment horizontal="center"/>
    </xf>
    <xf numFmtId="0" fontId="66" fillId="0" borderId="44" xfId="0" applyFont="1" applyBorder="1" applyAlignment="1">
      <alignment horizontal="center"/>
    </xf>
    <xf numFmtId="0" fontId="66" fillId="0" borderId="24" xfId="0" applyFont="1" applyBorder="1" applyAlignment="1">
      <alignment/>
    </xf>
    <xf numFmtId="0" fontId="68" fillId="0" borderId="24" xfId="0" applyFont="1" applyBorder="1" applyAlignment="1">
      <alignment horizontal="center" vertical="center"/>
    </xf>
    <xf numFmtId="2" fontId="65" fillId="0" borderId="0" xfId="0" applyNumberFormat="1" applyFont="1" applyBorder="1" applyAlignment="1">
      <alignment horizontal="center"/>
    </xf>
    <xf numFmtId="0" fontId="0" fillId="74" borderId="0" xfId="0" applyFill="1" applyAlignment="1">
      <alignment/>
    </xf>
    <xf numFmtId="0" fontId="66" fillId="0" borderId="47" xfId="0" applyFont="1" applyBorder="1" applyAlignment="1">
      <alignment horizontal="center"/>
    </xf>
    <xf numFmtId="0" fontId="66" fillId="0" borderId="24" xfId="0" applyFont="1" applyFill="1" applyBorder="1" applyAlignment="1">
      <alignment horizontal="center"/>
    </xf>
    <xf numFmtId="0" fontId="4" fillId="0" borderId="24" xfId="0" applyFont="1" applyBorder="1" applyAlignment="1">
      <alignment horizontal="center"/>
    </xf>
    <xf numFmtId="0" fontId="0" fillId="0" borderId="24" xfId="0" applyBorder="1" applyAlignment="1">
      <alignment horizontal="center"/>
    </xf>
    <xf numFmtId="2" fontId="65" fillId="0" borderId="42" xfId="0" applyNumberFormat="1" applyFont="1" applyBorder="1" applyAlignment="1">
      <alignment horizontal="center"/>
    </xf>
    <xf numFmtId="2" fontId="66" fillId="0" borderId="44" xfId="0" applyNumberFormat="1" applyFont="1" applyBorder="1" applyAlignment="1">
      <alignment horizontal="center"/>
    </xf>
    <xf numFmtId="0" fontId="65" fillId="74" borderId="24" xfId="0" applyFont="1" applyFill="1" applyBorder="1" applyAlignment="1">
      <alignment horizontal="center"/>
    </xf>
    <xf numFmtId="0" fontId="65" fillId="74" borderId="42" xfId="0" applyFont="1" applyFill="1" applyBorder="1" applyAlignment="1">
      <alignment horizontal="center"/>
    </xf>
    <xf numFmtId="0" fontId="66" fillId="0" borderId="24" xfId="0" applyFont="1" applyBorder="1" applyAlignment="1">
      <alignment horizontal="center" wrapText="1"/>
    </xf>
    <xf numFmtId="0" fontId="66" fillId="74" borderId="24" xfId="0" applyFont="1" applyFill="1" applyBorder="1" applyAlignment="1">
      <alignment horizontal="center" wrapText="1"/>
    </xf>
    <xf numFmtId="0" fontId="65" fillId="0" borderId="35" xfId="0" applyFont="1" applyBorder="1" applyAlignment="1">
      <alignment wrapText="1"/>
    </xf>
    <xf numFmtId="0" fontId="65" fillId="74" borderId="35" xfId="0" applyFont="1" applyFill="1" applyBorder="1" applyAlignment="1">
      <alignment wrapText="1"/>
    </xf>
    <xf numFmtId="2" fontId="66" fillId="0" borderId="44" xfId="0" applyNumberFormat="1" applyFont="1" applyBorder="1" applyAlignment="1">
      <alignment/>
    </xf>
    <xf numFmtId="0" fontId="0" fillId="0" borderId="0" xfId="0" applyAlignment="1">
      <alignment horizontal="center"/>
    </xf>
    <xf numFmtId="0" fontId="66" fillId="0" borderId="24" xfId="0" applyFont="1" applyFill="1" applyBorder="1" applyAlignment="1">
      <alignment horizontal="center" vertical="center"/>
    </xf>
    <xf numFmtId="0" fontId="4" fillId="0" borderId="44" xfId="0" applyFont="1" applyBorder="1" applyAlignment="1">
      <alignment horizontal="center"/>
    </xf>
    <xf numFmtId="2" fontId="4" fillId="0" borderId="44" xfId="0" applyNumberFormat="1" applyFont="1" applyBorder="1" applyAlignment="1">
      <alignment horizontal="center" vertical="center"/>
    </xf>
    <xf numFmtId="0" fontId="70" fillId="0" borderId="23" xfId="0" applyFont="1" applyFill="1" applyBorder="1" applyAlignment="1">
      <alignment horizontal="center" vertical="center"/>
    </xf>
    <xf numFmtId="0" fontId="0" fillId="0" borderId="65" xfId="0" applyBorder="1" applyAlignment="1">
      <alignment/>
    </xf>
    <xf numFmtId="0" fontId="0" fillId="0" borderId="46" xfId="0" applyFont="1" applyFill="1" applyBorder="1" applyAlignment="1">
      <alignment horizontal="left" vertical="center" wrapText="1"/>
    </xf>
    <xf numFmtId="4" fontId="3" fillId="72" borderId="44" xfId="420" applyNumberFormat="1" applyFont="1" applyFill="1" applyBorder="1" applyAlignment="1">
      <alignment horizontal="center" vertical="center" wrapText="1"/>
    </xf>
    <xf numFmtId="0" fontId="65" fillId="0" borderId="0" xfId="0" applyFont="1" applyBorder="1" applyAlignment="1">
      <alignment vertical="center" wrapText="1"/>
    </xf>
    <xf numFmtId="0" fontId="66" fillId="0" borderId="41" xfId="0" applyFont="1" applyBorder="1" applyAlignment="1">
      <alignment horizontal="center"/>
    </xf>
    <xf numFmtId="0" fontId="65" fillId="0" borderId="24" xfId="0" applyFont="1" applyFill="1" applyBorder="1" applyAlignment="1">
      <alignment horizontal="center" vertical="center" wrapText="1"/>
    </xf>
    <xf numFmtId="9" fontId="65" fillId="0" borderId="0" xfId="0" applyNumberFormat="1" applyFont="1" applyBorder="1" applyAlignment="1">
      <alignment horizontal="center" vertical="center" wrapText="1"/>
    </xf>
    <xf numFmtId="9" fontId="65" fillId="0" borderId="24" xfId="0" applyNumberFormat="1" applyFont="1" applyBorder="1" applyAlignment="1">
      <alignment horizontal="center" vertical="center" wrapText="1"/>
    </xf>
    <xf numFmtId="0" fontId="66" fillId="0" borderId="44" xfId="0" applyFont="1" applyBorder="1" applyAlignment="1">
      <alignment horizontal="center" vertical="center" wrapText="1"/>
    </xf>
    <xf numFmtId="0" fontId="0" fillId="72" borderId="44" xfId="0" applyFont="1" applyFill="1" applyBorder="1" applyAlignment="1">
      <alignment horizontal="center" vertical="center"/>
    </xf>
    <xf numFmtId="0" fontId="66" fillId="0" borderId="66" xfId="0" applyFont="1" applyBorder="1" applyAlignment="1">
      <alignment horizontal="center" vertical="center"/>
    </xf>
    <xf numFmtId="0" fontId="66" fillId="0" borderId="42" xfId="0" applyFont="1" applyBorder="1" applyAlignment="1">
      <alignment horizontal="center"/>
    </xf>
    <xf numFmtId="0" fontId="0" fillId="0" borderId="24" xfId="0" applyFont="1" applyBorder="1" applyAlignment="1">
      <alignment horizontal="center"/>
    </xf>
    <xf numFmtId="2" fontId="65" fillId="0" borderId="42" xfId="0" applyNumberFormat="1" applyFont="1" applyBorder="1" applyAlignment="1">
      <alignment horizontal="center" vertical="center"/>
    </xf>
    <xf numFmtId="2" fontId="0" fillId="0" borderId="42" xfId="0" applyNumberFormat="1" applyFont="1" applyBorder="1" applyAlignment="1">
      <alignment horizontal="center" vertical="center"/>
    </xf>
    <xf numFmtId="0" fontId="66" fillId="75" borderId="44" xfId="0" applyFont="1" applyFill="1" applyBorder="1" applyAlignment="1">
      <alignment horizontal="center" vertical="center"/>
    </xf>
    <xf numFmtId="0" fontId="42" fillId="76" borderId="0" xfId="0" applyFont="1" applyFill="1" applyBorder="1" applyAlignment="1">
      <alignment horizontal="center" vertical="top"/>
    </xf>
    <xf numFmtId="0" fontId="42" fillId="76" borderId="30" xfId="0" applyFont="1" applyFill="1" applyBorder="1" applyAlignment="1">
      <alignment horizontal="center" vertical="top"/>
    </xf>
    <xf numFmtId="0" fontId="42" fillId="76" borderId="31" xfId="0" applyFont="1" applyFill="1" applyBorder="1" applyAlignment="1">
      <alignment horizontal="center" vertical="top"/>
    </xf>
    <xf numFmtId="0" fontId="41" fillId="76" borderId="0" xfId="0" applyFont="1" applyFill="1" applyBorder="1" applyAlignment="1">
      <alignment horizontal="center" vertical="top"/>
    </xf>
    <xf numFmtId="0" fontId="66" fillId="0" borderId="28"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xf>
    <xf numFmtId="0" fontId="0" fillId="73" borderId="0" xfId="0" applyFont="1" applyFill="1" applyBorder="1" applyAlignment="1">
      <alignment/>
    </xf>
    <xf numFmtId="0" fontId="0" fillId="73" borderId="0" xfId="0" applyFont="1" applyFill="1" applyBorder="1" applyAlignment="1">
      <alignment/>
    </xf>
    <xf numFmtId="2" fontId="66" fillId="0" borderId="35" xfId="0" applyNumberFormat="1" applyFont="1" applyBorder="1" applyAlignment="1">
      <alignment horizontal="center"/>
    </xf>
    <xf numFmtId="0" fontId="65" fillId="74" borderId="0" xfId="0" applyFont="1" applyFill="1" applyBorder="1" applyAlignment="1">
      <alignment/>
    </xf>
    <xf numFmtId="0" fontId="71" fillId="0" borderId="24" xfId="0" applyFont="1" applyBorder="1" applyAlignment="1">
      <alignment horizontal="center"/>
    </xf>
    <xf numFmtId="2" fontId="65" fillId="74" borderId="24" xfId="0" applyNumberFormat="1" applyFont="1" applyFill="1" applyBorder="1" applyAlignment="1">
      <alignment horizontal="center"/>
    </xf>
    <xf numFmtId="174" fontId="65" fillId="0" borderId="24" xfId="0" applyNumberFormat="1" applyFont="1" applyBorder="1" applyAlignment="1">
      <alignment horizontal="center" vertical="center"/>
    </xf>
    <xf numFmtId="174" fontId="65" fillId="0" borderId="0" xfId="0" applyNumberFormat="1" applyFont="1" applyBorder="1" applyAlignment="1">
      <alignment/>
    </xf>
    <xf numFmtId="4" fontId="3" fillId="74" borderId="55" xfId="0" applyNumberFormat="1" applyFont="1" applyFill="1" applyBorder="1" applyAlignment="1">
      <alignment horizontal="center" vertical="center" wrapText="1"/>
    </xf>
    <xf numFmtId="4" fontId="3" fillId="74" borderId="67" xfId="0" applyNumberFormat="1" applyFont="1" applyFill="1" applyBorder="1" applyAlignment="1">
      <alignment horizontal="center" vertical="center" wrapText="1"/>
    </xf>
    <xf numFmtId="0" fontId="3" fillId="74" borderId="68" xfId="0" applyNumberFormat="1" applyFont="1" applyFill="1" applyBorder="1" applyAlignment="1">
      <alignment horizontal="center" vertical="center" wrapText="1"/>
    </xf>
    <xf numFmtId="0" fontId="3" fillId="74" borderId="55" xfId="0" applyNumberFormat="1" applyFont="1" applyFill="1" applyBorder="1" applyAlignment="1">
      <alignment horizontal="left" vertical="center" wrapText="1"/>
    </xf>
    <xf numFmtId="0" fontId="3" fillId="74" borderId="67" xfId="420" applyNumberFormat="1" applyFont="1" applyFill="1" applyBorder="1" applyAlignment="1">
      <alignment horizontal="center" vertical="center" wrapText="1"/>
    </xf>
    <xf numFmtId="0" fontId="66" fillId="0" borderId="0" xfId="0" applyFont="1" applyBorder="1" applyAlignment="1">
      <alignment horizontal="center" vertical="center"/>
    </xf>
    <xf numFmtId="2" fontId="4" fillId="0" borderId="0" xfId="0" applyNumberFormat="1" applyFont="1" applyFill="1" applyBorder="1" applyAlignment="1">
      <alignment horizontal="center" vertical="center"/>
    </xf>
    <xf numFmtId="0" fontId="65" fillId="0" borderId="42" xfId="0" applyFont="1" applyBorder="1" applyAlignment="1">
      <alignment horizontal="center" vertical="center"/>
    </xf>
    <xf numFmtId="0" fontId="65" fillId="0" borderId="25" xfId="0" applyFont="1" applyBorder="1" applyAlignment="1">
      <alignment horizontal="center" vertical="center"/>
    </xf>
    <xf numFmtId="2" fontId="0" fillId="0" borderId="42" xfId="0" applyNumberFormat="1" applyFont="1" applyFill="1" applyBorder="1" applyAlignment="1">
      <alignment horizontal="center" vertical="center"/>
    </xf>
    <xf numFmtId="0" fontId="0" fillId="76" borderId="0" xfId="0" applyFont="1" applyFill="1" applyAlignment="1">
      <alignment/>
    </xf>
    <xf numFmtId="2" fontId="65" fillId="74" borderId="24" xfId="0" applyNumberFormat="1" applyFont="1" applyFill="1" applyBorder="1" applyAlignment="1">
      <alignment horizontal="center" vertical="center"/>
    </xf>
    <xf numFmtId="2" fontId="0" fillId="0" borderId="0" xfId="0" applyNumberFormat="1" applyBorder="1" applyAlignment="1">
      <alignment/>
    </xf>
    <xf numFmtId="0" fontId="66" fillId="0" borderId="0" xfId="0" applyFont="1" applyBorder="1" applyAlignment="1">
      <alignment horizontal="center" vertical="center" wrapText="1"/>
    </xf>
    <xf numFmtId="2" fontId="66" fillId="0" borderId="0" xfId="0" applyNumberFormat="1" applyFont="1" applyBorder="1" applyAlignment="1">
      <alignment/>
    </xf>
    <xf numFmtId="2" fontId="65" fillId="0" borderId="0" xfId="0" applyNumberFormat="1" applyFont="1" applyBorder="1" applyAlignment="1">
      <alignment/>
    </xf>
    <xf numFmtId="9" fontId="66" fillId="0" borderId="24" xfId="0" applyNumberFormat="1" applyFont="1" applyBorder="1" applyAlignment="1">
      <alignment horizontal="center" vertical="center" wrapText="1"/>
    </xf>
    <xf numFmtId="0" fontId="0" fillId="0" borderId="66" xfId="0" applyBorder="1" applyAlignment="1">
      <alignment horizontal="center" vertical="center"/>
    </xf>
    <xf numFmtId="0" fontId="0" fillId="0" borderId="66" xfId="0" applyBorder="1" applyAlignment="1">
      <alignment horizontal="center"/>
    </xf>
    <xf numFmtId="174" fontId="65" fillId="0" borderId="35" xfId="0" applyNumberFormat="1" applyFont="1" applyBorder="1" applyAlignment="1">
      <alignment/>
    </xf>
    <xf numFmtId="0" fontId="65" fillId="74" borderId="35" xfId="0" applyFont="1" applyFill="1" applyBorder="1" applyAlignment="1">
      <alignment/>
    </xf>
    <xf numFmtId="2" fontId="66" fillId="0" borderId="31" xfId="0" applyNumberFormat="1" applyFont="1" applyBorder="1" applyAlignment="1">
      <alignment horizontal="center"/>
    </xf>
    <xf numFmtId="2" fontId="66" fillId="0" borderId="34" xfId="0" applyNumberFormat="1" applyFont="1" applyBorder="1" applyAlignment="1">
      <alignment horizontal="center"/>
    </xf>
    <xf numFmtId="2" fontId="0" fillId="0" borderId="0" xfId="0" applyNumberFormat="1" applyFont="1" applyFill="1" applyBorder="1" applyAlignment="1">
      <alignment horizontal="center" vertical="center"/>
    </xf>
    <xf numFmtId="2" fontId="4" fillId="0" borderId="44" xfId="0" applyNumberFormat="1" applyFont="1" applyFill="1" applyBorder="1" applyAlignment="1">
      <alignment horizontal="center" vertical="center"/>
    </xf>
    <xf numFmtId="0" fontId="66" fillId="0" borderId="44" xfId="0" applyFont="1" applyBorder="1" applyAlignment="1">
      <alignment horizontal="center" vertical="center"/>
    </xf>
    <xf numFmtId="2" fontId="4" fillId="0" borderId="52" xfId="0" applyNumberFormat="1" applyFont="1" applyFill="1" applyBorder="1" applyAlignment="1">
      <alignment horizontal="center" vertical="center"/>
    </xf>
    <xf numFmtId="0" fontId="66" fillId="0" borderId="43" xfId="0" applyFont="1" applyBorder="1" applyAlignment="1">
      <alignment horizontal="center" vertical="center"/>
    </xf>
    <xf numFmtId="0" fontId="66" fillId="0" borderId="41" xfId="0" applyFont="1" applyBorder="1" applyAlignment="1">
      <alignment horizontal="center" vertical="center"/>
    </xf>
    <xf numFmtId="0" fontId="0" fillId="0" borderId="69" xfId="0" applyBorder="1" applyAlignment="1">
      <alignment/>
    </xf>
    <xf numFmtId="2" fontId="0" fillId="0" borderId="24" xfId="0" applyNumberFormat="1" applyBorder="1" applyAlignment="1">
      <alignment horizontal="center"/>
    </xf>
    <xf numFmtId="2" fontId="66" fillId="0" borderId="45" xfId="0" applyNumberFormat="1" applyFont="1" applyBorder="1" applyAlignment="1">
      <alignment horizontal="center"/>
    </xf>
    <xf numFmtId="0" fontId="0" fillId="0" borderId="44" xfId="0" applyBorder="1" applyAlignment="1">
      <alignment/>
    </xf>
    <xf numFmtId="49" fontId="3" fillId="74" borderId="68" xfId="0" applyNumberFormat="1" applyFont="1" applyFill="1" applyBorder="1" applyAlignment="1">
      <alignment horizontal="center" vertical="center" wrapText="1"/>
    </xf>
    <xf numFmtId="0" fontId="69" fillId="74" borderId="55" xfId="0" applyFont="1" applyFill="1" applyBorder="1" applyAlignment="1">
      <alignment vertical="center" wrapText="1"/>
    </xf>
    <xf numFmtId="4" fontId="3" fillId="74" borderId="67" xfId="420" applyNumberFormat="1" applyFont="1" applyFill="1" applyBorder="1" applyAlignment="1">
      <alignment horizontal="center" vertical="center" wrapText="1"/>
    </xf>
    <xf numFmtId="0" fontId="66" fillId="0" borderId="0" xfId="0" applyFont="1" applyBorder="1" applyAlignment="1">
      <alignment horizontal="center" wrapText="1"/>
    </xf>
    <xf numFmtId="0" fontId="66" fillId="0" borderId="41" xfId="0" applyFont="1" applyBorder="1" applyAlignment="1">
      <alignment horizontal="center" wrapText="1"/>
    </xf>
    <xf numFmtId="0" fontId="0" fillId="0" borderId="0" xfId="0" applyBorder="1" applyAlignment="1">
      <alignment horizontal="center" vertical="center"/>
    </xf>
    <xf numFmtId="0" fontId="3" fillId="74" borderId="54" xfId="0" applyNumberFormat="1" applyFont="1" applyFill="1" applyBorder="1" applyAlignment="1">
      <alignment horizontal="left" vertical="center" wrapText="1"/>
    </xf>
    <xf numFmtId="0" fontId="35" fillId="74" borderId="54" xfId="0" applyNumberFormat="1" applyFont="1" applyFill="1" applyBorder="1" applyAlignment="1">
      <alignment horizontal="center" vertical="center" wrapText="1"/>
    </xf>
    <xf numFmtId="0" fontId="35" fillId="74" borderId="53" xfId="0" applyNumberFormat="1" applyFont="1" applyFill="1" applyBorder="1" applyAlignment="1">
      <alignment horizontal="center" vertical="center" wrapText="1"/>
    </xf>
    <xf numFmtId="0" fontId="3" fillId="74" borderId="54" xfId="420" applyNumberFormat="1" applyFont="1" applyFill="1" applyBorder="1" applyAlignment="1">
      <alignment horizontal="center" vertical="center" wrapText="1"/>
    </xf>
    <xf numFmtId="4" fontId="35" fillId="74" borderId="56" xfId="0" applyNumberFormat="1" applyFont="1" applyFill="1" applyBorder="1" applyAlignment="1">
      <alignment horizontal="center" vertical="center" wrapText="1"/>
    </xf>
    <xf numFmtId="175" fontId="3" fillId="74" borderId="55" xfId="0" applyNumberFormat="1" applyFont="1" applyFill="1" applyBorder="1" applyAlignment="1">
      <alignment horizontal="center" vertical="center" wrapText="1"/>
    </xf>
    <xf numFmtId="175" fontId="3" fillId="74" borderId="0" xfId="0" applyNumberFormat="1" applyFont="1" applyFill="1" applyBorder="1" applyAlignment="1">
      <alignment horizontal="center" vertical="center" wrapText="1"/>
    </xf>
    <xf numFmtId="175" fontId="3" fillId="74" borderId="54" xfId="0" applyNumberFormat="1" applyFont="1" applyFill="1" applyBorder="1" applyAlignment="1">
      <alignment horizontal="center" vertical="center" wrapText="1"/>
    </xf>
    <xf numFmtId="175" fontId="3" fillId="74" borderId="68" xfId="0" applyNumberFormat="1" applyFont="1" applyFill="1" applyBorder="1" applyAlignment="1">
      <alignment horizontal="center" vertical="center" wrapText="1"/>
    </xf>
    <xf numFmtId="0" fontId="3" fillId="74" borderId="55" xfId="0" applyNumberFormat="1" applyFont="1" applyFill="1" applyBorder="1" applyAlignment="1">
      <alignment horizontal="center" vertical="center" wrapText="1"/>
    </xf>
    <xf numFmtId="4" fontId="3" fillId="74" borderId="61" xfId="420" applyNumberFormat="1" applyFont="1" applyFill="1" applyBorder="1" applyAlignment="1">
      <alignment horizontal="center" vertical="center" wrapText="1"/>
    </xf>
    <xf numFmtId="0" fontId="3" fillId="74" borderId="54" xfId="0" applyNumberFormat="1" applyFont="1" applyFill="1" applyBorder="1" applyAlignment="1">
      <alignment horizontal="center" vertical="center" wrapText="1"/>
    </xf>
    <xf numFmtId="4" fontId="3" fillId="74" borderId="70" xfId="420" applyNumberFormat="1" applyFont="1" applyFill="1" applyBorder="1" applyAlignment="1">
      <alignment horizontal="center" vertical="center" wrapText="1"/>
    </xf>
    <xf numFmtId="0" fontId="3" fillId="74" borderId="71" xfId="0" applyNumberFormat="1" applyFont="1" applyFill="1" applyBorder="1" applyAlignment="1">
      <alignment horizontal="center" vertical="center" wrapText="1"/>
    </xf>
    <xf numFmtId="0" fontId="3" fillId="74" borderId="71" xfId="0" applyNumberFormat="1" applyFont="1" applyFill="1" applyBorder="1" applyAlignment="1">
      <alignment horizontal="left" vertical="center" wrapText="1"/>
    </xf>
    <xf numFmtId="4" fontId="3" fillId="74" borderId="72" xfId="420" applyNumberFormat="1" applyFont="1" applyFill="1" applyBorder="1" applyAlignment="1">
      <alignment horizontal="center" vertical="center" wrapText="1"/>
    </xf>
    <xf numFmtId="0" fontId="3" fillId="74" borderId="54" xfId="0" applyNumberFormat="1" applyFont="1" applyFill="1" applyBorder="1" applyAlignment="1">
      <alignment horizontal="right" vertical="center" wrapText="1"/>
    </xf>
    <xf numFmtId="0" fontId="3" fillId="74" borderId="0" xfId="0" applyNumberFormat="1" applyFont="1" applyFill="1" applyBorder="1" applyAlignment="1">
      <alignment horizontal="center" vertical="center" wrapText="1"/>
    </xf>
    <xf numFmtId="4" fontId="3" fillId="74" borderId="0" xfId="420" applyNumberFormat="1" applyFont="1" applyFill="1" applyBorder="1" applyAlignment="1">
      <alignment horizontal="center" vertical="center" wrapText="1"/>
    </xf>
    <xf numFmtId="4" fontId="3" fillId="74" borderId="0" xfId="0" applyNumberFormat="1" applyFont="1" applyFill="1" applyBorder="1" applyAlignment="1">
      <alignment horizontal="center" vertical="center" wrapText="1"/>
    </xf>
    <xf numFmtId="4" fontId="3" fillId="74" borderId="73" xfId="0" applyNumberFormat="1" applyFont="1" applyFill="1" applyBorder="1" applyAlignment="1">
      <alignment horizontal="center" vertical="center" wrapText="1"/>
    </xf>
    <xf numFmtId="4" fontId="3" fillId="74" borderId="74" xfId="0" applyNumberFormat="1" applyFont="1" applyFill="1" applyBorder="1" applyAlignment="1">
      <alignment horizontal="center" vertical="center" wrapText="1"/>
    </xf>
    <xf numFmtId="4" fontId="35" fillId="74" borderId="44" xfId="0" applyNumberFormat="1" applyFont="1" applyFill="1" applyBorder="1" applyAlignment="1">
      <alignment horizontal="center" vertical="center" wrapText="1"/>
    </xf>
    <xf numFmtId="0" fontId="3" fillId="74" borderId="0" xfId="0" applyNumberFormat="1" applyFont="1" applyFill="1" applyBorder="1" applyAlignment="1">
      <alignment horizontal="right" vertical="center" wrapText="1"/>
    </xf>
    <xf numFmtId="4" fontId="35" fillId="74" borderId="0" xfId="0" applyNumberFormat="1" applyFont="1" applyFill="1" applyBorder="1" applyAlignment="1">
      <alignment horizontal="center" vertical="center" wrapText="1"/>
    </xf>
    <xf numFmtId="0" fontId="66" fillId="0" borderId="41" xfId="0" applyFont="1" applyBorder="1" applyAlignment="1">
      <alignment horizontal="center" vertical="center" wrapText="1"/>
    </xf>
    <xf numFmtId="4" fontId="35" fillId="74" borderId="43" xfId="0" applyNumberFormat="1" applyFont="1" applyFill="1" applyBorder="1" applyAlignment="1">
      <alignment horizontal="center" vertical="center" wrapText="1"/>
    </xf>
    <xf numFmtId="0" fontId="3" fillId="74" borderId="54" xfId="0" applyFont="1" applyFill="1" applyBorder="1" applyAlignment="1">
      <alignment vertical="center" wrapText="1"/>
    </xf>
    <xf numFmtId="0" fontId="0" fillId="74" borderId="0" xfId="0" applyFont="1" applyFill="1" applyAlignment="1">
      <alignment/>
    </xf>
    <xf numFmtId="2" fontId="0" fillId="74" borderId="0" xfId="0" applyNumberFormat="1" applyFont="1" applyFill="1" applyAlignment="1">
      <alignment vertical="center"/>
    </xf>
    <xf numFmtId="0" fontId="65" fillId="0" borderId="24" xfId="0" applyFont="1" applyFill="1" applyBorder="1" applyAlignment="1">
      <alignment horizontal="center"/>
    </xf>
    <xf numFmtId="2" fontId="65" fillId="0" borderId="42" xfId="0" applyNumberFormat="1" applyFont="1" applyFill="1" applyBorder="1" applyAlignment="1">
      <alignment horizontal="center" vertical="center"/>
    </xf>
    <xf numFmtId="0" fontId="65" fillId="0" borderId="31" xfId="0" applyFont="1" applyBorder="1" applyAlignment="1">
      <alignment horizontal="center" vertical="center"/>
    </xf>
    <xf numFmtId="9" fontId="65" fillId="0" borderId="42" xfId="0" applyNumberFormat="1" applyFont="1" applyBorder="1" applyAlignment="1">
      <alignment horizontal="center" vertical="center" wrapText="1"/>
    </xf>
    <xf numFmtId="9" fontId="66" fillId="0" borderId="44" xfId="0" applyNumberFormat="1" applyFont="1" applyBorder="1" applyAlignment="1">
      <alignment horizontal="center" vertical="center" wrapText="1"/>
    </xf>
    <xf numFmtId="2" fontId="0" fillId="72" borderId="44" xfId="0" applyNumberFormat="1" applyFill="1" applyBorder="1" applyAlignment="1">
      <alignment horizontal="center" vertical="center"/>
    </xf>
    <xf numFmtId="0" fontId="0" fillId="24" borderId="0" xfId="0" applyFont="1" applyFill="1" applyAlignment="1">
      <alignment/>
    </xf>
    <xf numFmtId="2" fontId="0" fillId="24" borderId="0" xfId="0" applyNumberFormat="1" applyFont="1" applyFill="1" applyAlignment="1">
      <alignment vertical="center"/>
    </xf>
    <xf numFmtId="0" fontId="65" fillId="74" borderId="24" xfId="0" applyFont="1" applyFill="1" applyBorder="1" applyAlignment="1">
      <alignment horizontal="center" vertical="center" wrapText="1"/>
    </xf>
    <xf numFmtId="0" fontId="66" fillId="74" borderId="24" xfId="0" applyFont="1" applyFill="1" applyBorder="1" applyAlignment="1">
      <alignment horizontal="center" vertical="center"/>
    </xf>
    <xf numFmtId="4" fontId="3" fillId="74" borderId="71" xfId="0" applyNumberFormat="1" applyFont="1" applyFill="1" applyBorder="1" applyAlignment="1">
      <alignment horizontal="center" vertical="center" wrapText="1"/>
    </xf>
    <xf numFmtId="4" fontId="3" fillId="74" borderId="75" xfId="0" applyNumberFormat="1" applyFont="1" applyFill="1" applyBorder="1" applyAlignment="1">
      <alignment horizontal="center" vertical="center" wrapText="1"/>
    </xf>
    <xf numFmtId="0" fontId="4" fillId="0" borderId="24" xfId="0" applyFont="1" applyBorder="1" applyAlignment="1">
      <alignment/>
    </xf>
    <xf numFmtId="49" fontId="3" fillId="74" borderId="70" xfId="0" applyNumberFormat="1" applyFont="1" applyFill="1" applyBorder="1" applyAlignment="1">
      <alignment horizontal="center" vertical="center" wrapText="1"/>
    </xf>
    <xf numFmtId="0" fontId="69" fillId="74" borderId="71" xfId="0" applyFont="1" applyFill="1" applyBorder="1" applyAlignment="1">
      <alignment vertical="center" wrapText="1"/>
    </xf>
    <xf numFmtId="4" fontId="3" fillId="74" borderId="75" xfId="420" applyNumberFormat="1" applyFont="1" applyFill="1" applyBorder="1" applyAlignment="1">
      <alignment horizontal="center" vertical="center" wrapText="1"/>
    </xf>
    <xf numFmtId="0" fontId="65" fillId="74" borderId="23" xfId="0" applyFont="1" applyFill="1" applyBorder="1" applyAlignment="1">
      <alignment horizontal="center" vertical="center"/>
    </xf>
    <xf numFmtId="2" fontId="65" fillId="74" borderId="76" xfId="0" applyNumberFormat="1" applyFont="1" applyFill="1" applyBorder="1" applyAlignment="1">
      <alignment horizontal="center" vertical="center"/>
    </xf>
    <xf numFmtId="2" fontId="66" fillId="74" borderId="35" xfId="0" applyNumberFormat="1" applyFont="1" applyFill="1" applyBorder="1" applyAlignment="1">
      <alignment horizontal="center"/>
    </xf>
    <xf numFmtId="0" fontId="66" fillId="0" borderId="77" xfId="0" applyFont="1" applyBorder="1" applyAlignment="1">
      <alignment horizontal="center" vertical="center"/>
    </xf>
    <xf numFmtId="2" fontId="4" fillId="0" borderId="77" xfId="0" applyNumberFormat="1" applyFont="1" applyFill="1" applyBorder="1" applyAlignment="1">
      <alignment horizontal="center" vertical="center"/>
    </xf>
    <xf numFmtId="2" fontId="4" fillId="0" borderId="41" xfId="0" applyNumberFormat="1" applyFont="1" applyFill="1" applyBorder="1" applyAlignment="1">
      <alignment horizontal="center" vertical="center"/>
    </xf>
    <xf numFmtId="0" fontId="66" fillId="0" borderId="33" xfId="0" applyFont="1" applyBorder="1" applyAlignment="1">
      <alignment horizontal="center" vertical="center"/>
    </xf>
    <xf numFmtId="2" fontId="4" fillId="0" borderId="33" xfId="0" applyNumberFormat="1" applyFont="1" applyFill="1" applyBorder="1" applyAlignment="1">
      <alignment horizontal="center" vertical="center"/>
    </xf>
    <xf numFmtId="4" fontId="3" fillId="74" borderId="54" xfId="420" applyNumberFormat="1" applyFont="1" applyFill="1" applyBorder="1" applyAlignment="1">
      <alignment horizontal="center" vertical="center" wrapText="1"/>
    </xf>
    <xf numFmtId="174" fontId="65" fillId="0" borderId="24" xfId="0" applyNumberFormat="1" applyFont="1" applyBorder="1" applyAlignment="1">
      <alignment horizontal="center"/>
    </xf>
    <xf numFmtId="174" fontId="66" fillId="0" borderId="43" xfId="0" applyNumberFormat="1" applyFont="1" applyBorder="1" applyAlignment="1">
      <alignment horizontal="center"/>
    </xf>
    <xf numFmtId="0" fontId="66" fillId="0" borderId="43" xfId="0" applyFont="1" applyBorder="1" applyAlignment="1">
      <alignment horizontal="center" vertical="center" wrapText="1"/>
    </xf>
    <xf numFmtId="0" fontId="66" fillId="0" borderId="30" xfId="0" applyFont="1" applyBorder="1" applyAlignment="1">
      <alignment horizontal="center" vertical="center" wrapText="1"/>
    </xf>
    <xf numFmtId="2" fontId="4" fillId="0" borderId="30" xfId="0" applyNumberFormat="1" applyFont="1" applyFill="1" applyBorder="1" applyAlignment="1">
      <alignment horizontal="center" vertical="center"/>
    </xf>
    <xf numFmtId="2" fontId="65" fillId="0" borderId="78" xfId="0" applyNumberFormat="1" applyFont="1" applyBorder="1" applyAlignment="1">
      <alignment vertical="center"/>
    </xf>
    <xf numFmtId="0" fontId="66" fillId="0" borderId="50" xfId="0" applyFont="1" applyBorder="1" applyAlignment="1">
      <alignment horizontal="center"/>
    </xf>
    <xf numFmtId="0" fontId="4" fillId="75" borderId="44" xfId="0" applyFont="1" applyFill="1" applyBorder="1" applyAlignment="1">
      <alignment horizontal="center"/>
    </xf>
    <xf numFmtId="2" fontId="4" fillId="0" borderId="52" xfId="0" applyNumberFormat="1" applyFont="1" applyBorder="1" applyAlignment="1">
      <alignment horizontal="center" vertical="center"/>
    </xf>
    <xf numFmtId="174" fontId="65" fillId="0" borderId="0" xfId="0" applyNumberFormat="1" applyFont="1" applyBorder="1" applyAlignment="1">
      <alignment horizontal="center" vertical="center"/>
    </xf>
    <xf numFmtId="1" fontId="65" fillId="0" borderId="0" xfId="0" applyNumberFormat="1" applyFont="1" applyBorder="1" applyAlignment="1">
      <alignment horizontal="center" vertical="center"/>
    </xf>
    <xf numFmtId="174" fontId="65" fillId="0" borderId="35" xfId="0" applyNumberFormat="1" applyFont="1" applyBorder="1" applyAlignment="1">
      <alignment horizontal="center" vertical="center"/>
    </xf>
    <xf numFmtId="174" fontId="66" fillId="0" borderId="44" xfId="0" applyNumberFormat="1" applyFont="1" applyBorder="1" applyAlignment="1">
      <alignment horizontal="center" vertical="center"/>
    </xf>
    <xf numFmtId="0" fontId="66" fillId="0" borderId="77" xfId="0" applyFont="1" applyBorder="1" applyAlignment="1">
      <alignment horizontal="center"/>
    </xf>
    <xf numFmtId="0" fontId="66" fillId="76" borderId="44" xfId="0" applyFont="1" applyFill="1" applyBorder="1" applyAlignment="1">
      <alignment horizontal="center" vertical="center"/>
    </xf>
    <xf numFmtId="0" fontId="66" fillId="76" borderId="43" xfId="0" applyFont="1" applyFill="1" applyBorder="1" applyAlignment="1">
      <alignment horizontal="center" vertical="center"/>
    </xf>
    <xf numFmtId="0" fontId="66" fillId="76" borderId="41" xfId="0" applyFont="1" applyFill="1" applyBorder="1" applyAlignment="1">
      <alignment horizontal="center" vertical="center"/>
    </xf>
    <xf numFmtId="0" fontId="66" fillId="76" borderId="45" xfId="0" applyFont="1" applyFill="1" applyBorder="1" applyAlignment="1">
      <alignment horizontal="center" vertical="center"/>
    </xf>
    <xf numFmtId="0" fontId="0" fillId="76" borderId="0" xfId="0" applyFill="1" applyAlignment="1">
      <alignment/>
    </xf>
    <xf numFmtId="0" fontId="65" fillId="0" borderId="25" xfId="0" applyFont="1" applyBorder="1" applyAlignment="1">
      <alignment horizontal="center" vertical="center" wrapText="1"/>
    </xf>
    <xf numFmtId="2" fontId="65" fillId="0" borderId="25" xfId="0" applyNumberFormat="1" applyFont="1" applyBorder="1" applyAlignment="1">
      <alignment horizontal="center" vertical="center"/>
    </xf>
    <xf numFmtId="2" fontId="65" fillId="0" borderId="76" xfId="0" applyNumberFormat="1" applyFont="1" applyBorder="1" applyAlignment="1">
      <alignment horizontal="center" vertical="center"/>
    </xf>
    <xf numFmtId="2" fontId="66" fillId="0" borderId="45" xfId="0" applyNumberFormat="1" applyFont="1" applyBorder="1" applyAlignment="1">
      <alignment horizontal="center" vertical="center"/>
    </xf>
    <xf numFmtId="0" fontId="66" fillId="0" borderId="42" xfId="0" applyFont="1" applyFill="1" applyBorder="1" applyAlignment="1">
      <alignment horizontal="center"/>
    </xf>
    <xf numFmtId="0" fontId="66" fillId="0" borderId="79" xfId="0" applyFont="1" applyBorder="1" applyAlignment="1">
      <alignment horizontal="center"/>
    </xf>
    <xf numFmtId="0" fontId="66" fillId="0" borderId="28" xfId="0" applyFont="1" applyFill="1" applyBorder="1" applyAlignment="1">
      <alignment horizontal="center"/>
    </xf>
    <xf numFmtId="2" fontId="4" fillId="0" borderId="50" xfId="0" applyNumberFormat="1" applyFont="1" applyBorder="1" applyAlignment="1">
      <alignment horizontal="center" vertical="center"/>
    </xf>
    <xf numFmtId="0" fontId="66" fillId="0" borderId="80" xfId="0" applyFont="1" applyBorder="1" applyAlignment="1">
      <alignment horizontal="center" vertical="center"/>
    </xf>
    <xf numFmtId="2" fontId="65" fillId="0" borderId="35" xfId="0" applyNumberFormat="1" applyFont="1" applyBorder="1" applyAlignment="1">
      <alignment horizontal="center" vertical="center"/>
    </xf>
    <xf numFmtId="2" fontId="65" fillId="0" borderId="81" xfId="0" applyNumberFormat="1" applyFont="1" applyBorder="1" applyAlignment="1">
      <alignment horizontal="center" vertical="center"/>
    </xf>
    <xf numFmtId="2" fontId="65" fillId="0" borderId="82" xfId="0" applyNumberFormat="1" applyFont="1" applyBorder="1" applyAlignment="1">
      <alignment horizontal="center" vertical="center"/>
    </xf>
    <xf numFmtId="2" fontId="66" fillId="0" borderId="77" xfId="0" applyNumberFormat="1" applyFont="1" applyBorder="1" applyAlignment="1">
      <alignment horizontal="center"/>
    </xf>
    <xf numFmtId="4" fontId="3" fillId="74" borderId="57" xfId="0" applyNumberFormat="1" applyFont="1" applyFill="1" applyBorder="1" applyAlignment="1">
      <alignment horizontal="center" vertical="center" wrapText="1"/>
    </xf>
    <xf numFmtId="4" fontId="3" fillId="74" borderId="68" xfId="0" applyNumberFormat="1" applyFont="1" applyFill="1" applyBorder="1" applyAlignment="1">
      <alignment horizontal="center" vertical="center" wrapText="1"/>
    </xf>
    <xf numFmtId="174" fontId="66" fillId="0" borderId="29" xfId="0" applyNumberFormat="1" applyFont="1" applyBorder="1" applyAlignment="1">
      <alignment horizontal="center"/>
    </xf>
    <xf numFmtId="0" fontId="66" fillId="0" borderId="29" xfId="0" applyFont="1" applyBorder="1" applyAlignment="1">
      <alignment horizontal="center"/>
    </xf>
    <xf numFmtId="0" fontId="65" fillId="74" borderId="24" xfId="0" applyFont="1" applyFill="1" applyBorder="1" applyAlignment="1">
      <alignment horizontal="center" wrapText="1"/>
    </xf>
    <xf numFmtId="2" fontId="0" fillId="74" borderId="24" xfId="0" applyNumberFormat="1" applyFont="1" applyFill="1" applyBorder="1" applyAlignment="1">
      <alignment horizontal="center"/>
    </xf>
    <xf numFmtId="0" fontId="0" fillId="74" borderId="24" xfId="0" applyFill="1" applyBorder="1" applyAlignment="1">
      <alignment horizontal="center" vertical="center"/>
    </xf>
    <xf numFmtId="0" fontId="0" fillId="74" borderId="28" xfId="0" applyFill="1" applyBorder="1" applyAlignment="1">
      <alignment horizontal="center" vertical="center"/>
    </xf>
    <xf numFmtId="2" fontId="0" fillId="74" borderId="42" xfId="0" applyNumberFormat="1" applyFont="1" applyFill="1" applyBorder="1" applyAlignment="1">
      <alignment horizontal="center"/>
    </xf>
    <xf numFmtId="2" fontId="0" fillId="74" borderId="24" xfId="0" applyNumberFormat="1" applyFont="1" applyFill="1" applyBorder="1" applyAlignment="1">
      <alignment horizontal="center" vertical="center"/>
    </xf>
    <xf numFmtId="2" fontId="66" fillId="0" borderId="35" xfId="0" applyNumberFormat="1" applyFont="1" applyBorder="1" applyAlignment="1">
      <alignment horizontal="center" vertical="center"/>
    </xf>
    <xf numFmtId="0" fontId="68" fillId="0" borderId="24" xfId="0" applyFont="1" applyBorder="1" applyAlignment="1">
      <alignment horizontal="center"/>
    </xf>
    <xf numFmtId="2" fontId="66" fillId="0" borderId="52" xfId="0" applyNumberFormat="1" applyFont="1" applyBorder="1" applyAlignment="1">
      <alignment horizontal="center"/>
    </xf>
    <xf numFmtId="2" fontId="66" fillId="0" borderId="41" xfId="0" applyNumberFormat="1" applyFont="1" applyBorder="1" applyAlignment="1">
      <alignment horizontal="center"/>
    </xf>
    <xf numFmtId="2" fontId="0" fillId="74" borderId="28" xfId="0" applyNumberFormat="1" applyFill="1" applyBorder="1" applyAlignment="1">
      <alignment horizontal="center" vertical="center"/>
    </xf>
    <xf numFmtId="0" fontId="66" fillId="0" borderId="0" xfId="0" applyFont="1" applyBorder="1" applyAlignment="1">
      <alignment/>
    </xf>
    <xf numFmtId="0" fontId="65" fillId="0" borderId="66" xfId="0" applyFont="1" applyBorder="1" applyAlignment="1">
      <alignment/>
    </xf>
    <xf numFmtId="0" fontId="3" fillId="74" borderId="67" xfId="0" applyNumberFormat="1" applyFont="1" applyFill="1" applyBorder="1" applyAlignment="1">
      <alignment horizontal="center" vertical="center" wrapText="1"/>
    </xf>
    <xf numFmtId="4" fontId="3" fillId="74" borderId="68" xfId="420" applyNumberFormat="1" applyFont="1" applyFill="1" applyBorder="1" applyAlignment="1">
      <alignment horizontal="center" vertical="center" wrapText="1"/>
    </xf>
    <xf numFmtId="2" fontId="0" fillId="73" borderId="0" xfId="0" applyNumberFormat="1" applyFont="1" applyFill="1" applyBorder="1" applyAlignment="1">
      <alignment/>
    </xf>
    <xf numFmtId="0" fontId="66" fillId="0" borderId="52" xfId="0" applyFont="1" applyBorder="1" applyAlignment="1">
      <alignment horizontal="center"/>
    </xf>
    <xf numFmtId="0" fontId="69" fillId="74" borderId="54" xfId="0" applyFont="1" applyFill="1" applyBorder="1" applyAlignment="1">
      <alignment vertical="top" wrapText="1"/>
    </xf>
    <xf numFmtId="0" fontId="68" fillId="0" borderId="44" xfId="0" applyFont="1" applyBorder="1" applyAlignment="1">
      <alignment horizontal="center"/>
    </xf>
    <xf numFmtId="0" fontId="0" fillId="0" borderId="42" xfId="0" applyBorder="1" applyAlignment="1">
      <alignment horizontal="center"/>
    </xf>
    <xf numFmtId="0" fontId="0" fillId="0" borderId="0" xfId="0" applyFont="1" applyAlignment="1" quotePrefix="1">
      <alignment/>
    </xf>
    <xf numFmtId="0" fontId="66" fillId="74" borderId="24" xfId="0" applyFont="1" applyFill="1" applyBorder="1" applyAlignment="1">
      <alignment horizontal="center"/>
    </xf>
    <xf numFmtId="0" fontId="0" fillId="74" borderId="24" xfId="0" applyFill="1" applyBorder="1" applyAlignment="1">
      <alignment horizontal="center"/>
    </xf>
    <xf numFmtId="2" fontId="0" fillId="74" borderId="24" xfId="0" applyNumberFormat="1" applyFill="1" applyBorder="1" applyAlignment="1">
      <alignment horizontal="center"/>
    </xf>
    <xf numFmtId="2" fontId="4" fillId="0" borderId="44" xfId="0" applyNumberFormat="1" applyFont="1" applyBorder="1" applyAlignment="1">
      <alignment horizontal="center"/>
    </xf>
    <xf numFmtId="0" fontId="66" fillId="74" borderId="24" xfId="0" applyFont="1" applyFill="1" applyBorder="1" applyAlignment="1">
      <alignment horizontal="center" vertical="center" wrapText="1"/>
    </xf>
    <xf numFmtId="2" fontId="65" fillId="74" borderId="42" xfId="0" applyNumberFormat="1" applyFont="1" applyFill="1" applyBorder="1" applyAlignment="1">
      <alignment horizontal="center" vertical="center"/>
    </xf>
    <xf numFmtId="0" fontId="0" fillId="0" borderId="66" xfId="0" applyFont="1" applyBorder="1" applyAlignment="1">
      <alignment horizontal="center" vertical="center"/>
    </xf>
    <xf numFmtId="0" fontId="0" fillId="0" borderId="79" xfId="0" applyFont="1" applyBorder="1" applyAlignment="1">
      <alignment horizontal="center" vertical="center"/>
    </xf>
    <xf numFmtId="0" fontId="0" fillId="0" borderId="83" xfId="0" applyFont="1" applyBorder="1" applyAlignment="1">
      <alignment horizontal="center" vertical="center"/>
    </xf>
    <xf numFmtId="49" fontId="2" fillId="74" borderId="61" xfId="0" applyNumberFormat="1" applyFont="1" applyFill="1" applyBorder="1" applyAlignment="1">
      <alignment horizontal="center" vertical="center" wrapText="1"/>
    </xf>
    <xf numFmtId="0" fontId="66" fillId="74" borderId="44" xfId="0" applyFont="1" applyFill="1" applyBorder="1" applyAlignment="1">
      <alignment horizontal="center"/>
    </xf>
    <xf numFmtId="0" fontId="0" fillId="74" borderId="23" xfId="0" applyFont="1" applyFill="1" applyBorder="1" applyAlignment="1">
      <alignment horizontal="center" vertical="center"/>
    </xf>
    <xf numFmtId="0" fontId="0" fillId="74" borderId="0" xfId="0" applyFont="1" applyFill="1" applyBorder="1" applyAlignment="1">
      <alignment/>
    </xf>
    <xf numFmtId="0" fontId="0" fillId="74" borderId="35" xfId="0" applyFont="1" applyFill="1" applyBorder="1" applyAlignment="1">
      <alignment/>
    </xf>
    <xf numFmtId="0" fontId="4" fillId="74" borderId="24" xfId="0" applyFont="1" applyFill="1" applyBorder="1" applyAlignment="1">
      <alignment horizontal="center" vertical="center"/>
    </xf>
    <xf numFmtId="0" fontId="4" fillId="74" borderId="24" xfId="0" applyFont="1" applyFill="1" applyBorder="1" applyAlignment="1">
      <alignment horizontal="center" vertical="center" wrapText="1"/>
    </xf>
    <xf numFmtId="0" fontId="4" fillId="74" borderId="28" xfId="0" applyFont="1" applyFill="1" applyBorder="1" applyAlignment="1">
      <alignment horizontal="center" vertical="center"/>
    </xf>
    <xf numFmtId="0" fontId="0" fillId="74" borderId="23" xfId="0" applyFont="1" applyFill="1" applyBorder="1" applyAlignment="1">
      <alignment horizontal="center"/>
    </xf>
    <xf numFmtId="0" fontId="0" fillId="74" borderId="24" xfId="0" applyFont="1" applyFill="1" applyBorder="1" applyAlignment="1">
      <alignment horizontal="center" vertical="center" wrapText="1"/>
    </xf>
    <xf numFmtId="0" fontId="0" fillId="74" borderId="24" xfId="0" applyFont="1" applyFill="1" applyBorder="1" applyAlignment="1">
      <alignment horizontal="center"/>
    </xf>
    <xf numFmtId="2" fontId="0" fillId="74" borderId="28" xfId="0" applyNumberFormat="1" applyFont="1" applyFill="1" applyBorder="1" applyAlignment="1">
      <alignment horizontal="center" vertical="center"/>
    </xf>
    <xf numFmtId="2" fontId="0" fillId="72" borderId="44" xfId="0" applyNumberFormat="1" applyFont="1" applyFill="1" applyBorder="1" applyAlignment="1">
      <alignment horizontal="center" vertical="center"/>
    </xf>
    <xf numFmtId="174" fontId="66" fillId="0" borderId="77" xfId="0" applyNumberFormat="1" applyFont="1" applyBorder="1" applyAlignment="1">
      <alignment horizontal="center" vertical="center"/>
    </xf>
    <xf numFmtId="2" fontId="65" fillId="0" borderId="24" xfId="0" applyNumberFormat="1" applyFont="1" applyFill="1" applyBorder="1" applyAlignment="1">
      <alignment horizontal="center"/>
    </xf>
    <xf numFmtId="0" fontId="0" fillId="74" borderId="23" xfId="0" applyFill="1" applyBorder="1" applyAlignment="1">
      <alignment/>
    </xf>
    <xf numFmtId="0" fontId="0" fillId="76" borderId="23" xfId="0" applyFill="1" applyBorder="1" applyAlignment="1">
      <alignment/>
    </xf>
    <xf numFmtId="0" fontId="3" fillId="74" borderId="55" xfId="0" applyNumberFormat="1" applyFont="1" applyFill="1" applyBorder="1" applyAlignment="1">
      <alignment horizontal="left" vertical="top" wrapText="1"/>
    </xf>
    <xf numFmtId="2" fontId="4" fillId="0" borderId="33" xfId="0" applyNumberFormat="1" applyFont="1" applyBorder="1" applyAlignment="1">
      <alignment horizontal="center" vertical="center"/>
    </xf>
    <xf numFmtId="2" fontId="0" fillId="0" borderId="66" xfId="0" applyNumberFormat="1" applyFont="1" applyBorder="1" applyAlignment="1">
      <alignment horizontal="center" vertical="center"/>
    </xf>
    <xf numFmtId="0" fontId="0" fillId="0" borderId="0" xfId="0" applyBorder="1" applyAlignment="1">
      <alignment horizontal="center"/>
    </xf>
    <xf numFmtId="0" fontId="66" fillId="0" borderId="84" xfId="0" applyFont="1" applyBorder="1" applyAlignment="1">
      <alignment horizontal="center"/>
    </xf>
    <xf numFmtId="2" fontId="65" fillId="74" borderId="28" xfId="0" applyNumberFormat="1" applyFont="1" applyFill="1" applyBorder="1" applyAlignment="1">
      <alignment horizontal="center"/>
    </xf>
    <xf numFmtId="0" fontId="66" fillId="0" borderId="28" xfId="0" applyFont="1" applyBorder="1" applyAlignment="1">
      <alignment/>
    </xf>
    <xf numFmtId="2" fontId="66" fillId="0" borderId="28" xfId="0" applyNumberFormat="1" applyFont="1" applyBorder="1" applyAlignment="1">
      <alignment horizontal="center"/>
    </xf>
    <xf numFmtId="2" fontId="66" fillId="0" borderId="84" xfId="0" applyNumberFormat="1" applyFont="1" applyBorder="1" applyAlignment="1">
      <alignment horizontal="center"/>
    </xf>
    <xf numFmtId="0" fontId="66" fillId="0" borderId="85" xfId="0" applyFont="1" applyFill="1" applyBorder="1" applyAlignment="1">
      <alignment horizontal="center"/>
    </xf>
    <xf numFmtId="0" fontId="65" fillId="0" borderId="85" xfId="0" applyFont="1" applyBorder="1" applyAlignment="1">
      <alignment horizontal="center"/>
    </xf>
    <xf numFmtId="0" fontId="65" fillId="0" borderId="28" xfId="0" applyFont="1" applyBorder="1" applyAlignment="1">
      <alignment horizontal="center"/>
    </xf>
    <xf numFmtId="0" fontId="66" fillId="0" borderId="35" xfId="0" applyFont="1" applyFill="1" applyBorder="1" applyAlignment="1">
      <alignment horizontal="center"/>
    </xf>
    <xf numFmtId="0" fontId="0" fillId="0" borderId="35" xfId="0" applyBorder="1" applyAlignment="1">
      <alignment horizontal="center" vertical="center"/>
    </xf>
    <xf numFmtId="0" fontId="66" fillId="76" borderId="23" xfId="0" applyFont="1" applyFill="1" applyBorder="1" applyAlignment="1">
      <alignment horizontal="center" vertical="center"/>
    </xf>
    <xf numFmtId="0" fontId="66" fillId="0" borderId="35" xfId="0" applyFont="1" applyBorder="1" applyAlignment="1">
      <alignment horizontal="center" vertical="center"/>
    </xf>
    <xf numFmtId="0" fontId="65" fillId="0" borderId="26" xfId="0" applyFont="1" applyBorder="1" applyAlignment="1">
      <alignment horizontal="center" vertical="center"/>
    </xf>
    <xf numFmtId="2" fontId="0" fillId="0" borderId="0" xfId="0" applyNumberFormat="1" applyBorder="1" applyAlignment="1">
      <alignment horizontal="center"/>
    </xf>
    <xf numFmtId="2" fontId="4" fillId="0" borderId="24" xfId="0" applyNumberFormat="1" applyFont="1" applyBorder="1" applyAlignment="1">
      <alignment horizontal="center" vertical="center"/>
    </xf>
    <xf numFmtId="0" fontId="0" fillId="0" borderId="0" xfId="0" applyFont="1" applyBorder="1" applyAlignment="1">
      <alignment horizontal="center" vertical="center"/>
    </xf>
    <xf numFmtId="0" fontId="4" fillId="0" borderId="85" xfId="0" applyFont="1" applyFill="1" applyBorder="1" applyAlignment="1">
      <alignment horizontal="left" vertical="center"/>
    </xf>
    <xf numFmtId="0" fontId="4" fillId="0" borderId="83" xfId="0" applyFont="1" applyFill="1" applyBorder="1" applyAlignment="1">
      <alignment horizontal="center" vertical="center"/>
    </xf>
    <xf numFmtId="0" fontId="3" fillId="0" borderId="0" xfId="0" applyFont="1" applyBorder="1" applyAlignment="1">
      <alignment horizontal="center" vertical="center"/>
    </xf>
    <xf numFmtId="0" fontId="3" fillId="76" borderId="0" xfId="0" applyNumberFormat="1" applyFont="1" applyFill="1" applyBorder="1" applyAlignment="1">
      <alignment horizontal="center" vertical="center"/>
    </xf>
    <xf numFmtId="0" fontId="3" fillId="74" borderId="0" xfId="0" applyNumberFormat="1" applyFont="1" applyFill="1" applyBorder="1" applyAlignment="1">
      <alignment horizontal="left" vertical="center" wrapText="1"/>
    </xf>
    <xf numFmtId="2" fontId="0" fillId="0" borderId="78" xfId="0" applyNumberFormat="1" applyFont="1" applyBorder="1" applyAlignment="1">
      <alignment horizontal="center" vertical="center"/>
    </xf>
    <xf numFmtId="0" fontId="3" fillId="74" borderId="86" xfId="0" applyNumberFormat="1" applyFont="1" applyFill="1" applyBorder="1" applyAlignment="1">
      <alignment horizontal="center" vertical="center" wrapText="1"/>
    </xf>
    <xf numFmtId="169" fontId="35" fillId="71" borderId="77" xfId="0" applyNumberFormat="1" applyFont="1" applyFill="1" applyBorder="1" applyAlignment="1">
      <alignment horizontal="center" vertical="center" wrapText="1"/>
    </xf>
    <xf numFmtId="0" fontId="0" fillId="0" borderId="75" xfId="0" applyBorder="1" applyAlignment="1">
      <alignment/>
    </xf>
    <xf numFmtId="2" fontId="4" fillId="0" borderId="78" xfId="0" applyNumberFormat="1" applyFont="1" applyBorder="1" applyAlignment="1">
      <alignment horizontal="center" vertical="center"/>
    </xf>
    <xf numFmtId="0" fontId="66" fillId="0" borderId="47" xfId="0" applyFont="1" applyBorder="1" applyAlignment="1">
      <alignment horizontal="center" vertical="center"/>
    </xf>
    <xf numFmtId="0" fontId="65" fillId="0" borderId="76" xfId="0" applyFont="1" applyBorder="1" applyAlignment="1">
      <alignment horizontal="center" vertical="center" wrapText="1"/>
    </xf>
    <xf numFmtId="2" fontId="0" fillId="0" borderId="82" xfId="0" applyNumberFormat="1" applyFont="1" applyBorder="1" applyAlignment="1">
      <alignment horizontal="center" vertical="center"/>
    </xf>
    <xf numFmtId="2" fontId="4" fillId="0" borderId="41" xfId="0" applyNumberFormat="1" applyFont="1" applyBorder="1" applyAlignment="1">
      <alignment horizontal="center" vertical="center"/>
    </xf>
    <xf numFmtId="2" fontId="4" fillId="0" borderId="45" xfId="0" applyNumberFormat="1" applyFont="1" applyBorder="1" applyAlignment="1">
      <alignment horizontal="center" vertical="center"/>
    </xf>
    <xf numFmtId="2" fontId="4" fillId="0" borderId="87" xfId="0" applyNumberFormat="1" applyFont="1" applyBorder="1" applyAlignment="1">
      <alignment horizontal="center" vertical="center"/>
    </xf>
    <xf numFmtId="2" fontId="4" fillId="0" borderId="80" xfId="0" applyNumberFormat="1" applyFont="1" applyBorder="1" applyAlignment="1">
      <alignment horizontal="center" vertical="center"/>
    </xf>
    <xf numFmtId="0" fontId="3" fillId="74" borderId="54" xfId="0" applyNumberFormat="1" applyFont="1" applyFill="1" applyBorder="1" applyAlignment="1">
      <alignment horizontal="left" vertical="top" wrapText="1"/>
    </xf>
    <xf numFmtId="4" fontId="3" fillId="74" borderId="73" xfId="420" applyNumberFormat="1" applyFont="1" applyFill="1" applyBorder="1" applyAlignment="1">
      <alignment horizontal="center" vertical="center" wrapText="1"/>
    </xf>
    <xf numFmtId="0" fontId="4" fillId="0" borderId="0" xfId="0" applyFont="1" applyBorder="1" applyAlignment="1">
      <alignment horizontal="center"/>
    </xf>
    <xf numFmtId="0" fontId="4" fillId="0" borderId="66" xfId="0" applyFont="1" applyBorder="1" applyAlignment="1">
      <alignment horizontal="center"/>
    </xf>
    <xf numFmtId="2" fontId="0" fillId="0" borderId="66" xfId="0" applyNumberFormat="1" applyBorder="1" applyAlignment="1">
      <alignment horizontal="center"/>
    </xf>
    <xf numFmtId="0" fontId="66" fillId="0" borderId="24" xfId="0" applyFont="1" applyBorder="1" applyAlignment="1">
      <alignment horizontal="center" vertical="center" wrapText="1"/>
    </xf>
    <xf numFmtId="0" fontId="0" fillId="0" borderId="0" xfId="0" applyFont="1" applyBorder="1" applyAlignment="1">
      <alignment horizontal="center" vertical="center"/>
    </xf>
    <xf numFmtId="0" fontId="65" fillId="0" borderId="23" xfId="0" applyFont="1" applyBorder="1" applyAlignment="1">
      <alignment horizontal="center" vertical="center"/>
    </xf>
    <xf numFmtId="0" fontId="0" fillId="0" borderId="46" xfId="0" applyFont="1" applyBorder="1" applyAlignment="1">
      <alignment horizontal="center" vertical="center"/>
    </xf>
    <xf numFmtId="0" fontId="65" fillId="0" borderId="36" xfId="0" applyFont="1" applyBorder="1" applyAlignment="1">
      <alignment horizontal="center" vertical="center"/>
    </xf>
    <xf numFmtId="0" fontId="65" fillId="72" borderId="45" xfId="0" applyFont="1" applyFill="1" applyBorder="1" applyAlignment="1">
      <alignment horizontal="center" vertical="center"/>
    </xf>
    <xf numFmtId="0" fontId="66" fillId="0" borderId="0" xfId="0" applyFont="1" applyBorder="1" applyAlignment="1">
      <alignment horizontal="center"/>
    </xf>
    <xf numFmtId="0" fontId="66" fillId="0" borderId="35" xfId="0" applyFont="1" applyBorder="1" applyAlignment="1">
      <alignment horizontal="center"/>
    </xf>
    <xf numFmtId="4" fontId="35" fillId="71" borderId="64" xfId="420" applyNumberFormat="1" applyFont="1" applyFill="1" applyBorder="1" applyAlignment="1">
      <alignment horizontal="center" vertical="center"/>
    </xf>
    <xf numFmtId="0" fontId="0" fillId="0" borderId="35" xfId="0" applyFont="1" applyBorder="1" applyAlignment="1">
      <alignment vertical="center"/>
    </xf>
    <xf numFmtId="0" fontId="3" fillId="0" borderId="23" xfId="0" applyFont="1" applyBorder="1" applyAlignment="1">
      <alignment vertical="center"/>
    </xf>
    <xf numFmtId="0" fontId="3" fillId="0" borderId="35"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vertical="center"/>
    </xf>
    <xf numFmtId="4" fontId="3" fillId="74" borderId="88" xfId="420" applyNumberFormat="1" applyFont="1" applyFill="1" applyBorder="1" applyAlignment="1">
      <alignment horizontal="center" vertical="center" wrapText="1"/>
    </xf>
    <xf numFmtId="0" fontId="35" fillId="71" borderId="59" xfId="420" applyNumberFormat="1" applyFont="1" applyFill="1" applyBorder="1" applyAlignment="1">
      <alignment horizontal="center" vertical="center" wrapText="1"/>
    </xf>
    <xf numFmtId="49" fontId="3" fillId="74" borderId="72" xfId="0" applyNumberFormat="1" applyFont="1" applyFill="1" applyBorder="1" applyAlignment="1">
      <alignment horizontal="center" vertical="center" wrapText="1"/>
    </xf>
    <xf numFmtId="0" fontId="69" fillId="74" borderId="73" xfId="0" applyFont="1" applyFill="1" applyBorder="1" applyAlignment="1">
      <alignment vertical="center" wrapText="1"/>
    </xf>
    <xf numFmtId="4" fontId="3" fillId="74" borderId="88" xfId="0" applyNumberFormat="1" applyFont="1" applyFill="1" applyBorder="1" applyAlignment="1">
      <alignment horizontal="center" vertical="center" wrapText="1"/>
    </xf>
    <xf numFmtId="0" fontId="3" fillId="74" borderId="70" xfId="0" applyNumberFormat="1" applyFont="1" applyFill="1" applyBorder="1" applyAlignment="1">
      <alignment horizontal="center" vertical="center" wrapText="1"/>
    </xf>
    <xf numFmtId="0" fontId="0" fillId="0" borderId="0"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Border="1" applyAlignment="1">
      <alignment horizontal="center" vertical="center"/>
    </xf>
    <xf numFmtId="0" fontId="4" fillId="2" borderId="24" xfId="312" applyFont="1" applyFill="1" applyBorder="1" applyAlignment="1">
      <alignment horizontal="center" vertical="center" wrapText="1"/>
      <protection/>
    </xf>
    <xf numFmtId="0" fontId="4" fillId="2" borderId="24" xfId="312" applyFont="1" applyFill="1" applyBorder="1" applyAlignment="1">
      <alignment horizontal="center" vertical="center"/>
      <protection/>
    </xf>
    <xf numFmtId="0" fontId="68" fillId="0" borderId="24" xfId="0" applyFont="1" applyFill="1" applyBorder="1" applyAlignment="1">
      <alignment horizontal="left" vertical="center" wrapText="1"/>
    </xf>
    <xf numFmtId="4" fontId="35" fillId="71" borderId="64" xfId="0" applyNumberFormat="1" applyFont="1" applyFill="1" applyBorder="1" applyAlignment="1">
      <alignment horizontal="center" vertical="top" wrapText="1"/>
    </xf>
    <xf numFmtId="10" fontId="2" fillId="2" borderId="24" xfId="312" applyNumberFormat="1" applyFont="1" applyFill="1" applyBorder="1" applyAlignment="1">
      <alignment horizontal="center" vertical="top" wrapText="1"/>
      <protection/>
    </xf>
    <xf numFmtId="172" fontId="2" fillId="2" borderId="24" xfId="312" applyNumberFormat="1" applyFont="1" applyFill="1" applyBorder="1" applyAlignment="1">
      <alignment horizontal="center" vertical="top" wrapText="1"/>
      <protection/>
    </xf>
    <xf numFmtId="173" fontId="2" fillId="2" borderId="24" xfId="301" applyNumberFormat="1" applyFont="1" applyFill="1" applyBorder="1" applyAlignment="1">
      <alignment horizontal="center" vertical="top" wrapText="1"/>
    </xf>
    <xf numFmtId="173" fontId="2" fillId="2" borderId="24" xfId="312" applyNumberFormat="1" applyFont="1" applyFill="1" applyBorder="1" applyAlignment="1">
      <alignment horizontal="center" vertical="top" wrapText="1"/>
      <protection/>
    </xf>
    <xf numFmtId="10" fontId="0" fillId="2" borderId="0" xfId="312" applyNumberFormat="1" applyFill="1">
      <alignment/>
      <protection/>
    </xf>
    <xf numFmtId="172" fontId="0" fillId="2" borderId="0" xfId="312" applyNumberFormat="1" applyFill="1">
      <alignment/>
      <protection/>
    </xf>
    <xf numFmtId="2" fontId="4" fillId="0" borderId="29" xfId="0" applyNumberFormat="1" applyFont="1" applyBorder="1" applyAlignment="1">
      <alignment horizontal="center" vertical="center"/>
    </xf>
    <xf numFmtId="2" fontId="66" fillId="0" borderId="31" xfId="0" applyNumberFormat="1" applyFont="1" applyBorder="1" applyAlignment="1">
      <alignment horizontal="center" vertical="center"/>
    </xf>
    <xf numFmtId="2" fontId="4" fillId="0" borderId="77" xfId="0" applyNumberFormat="1" applyFont="1" applyBorder="1" applyAlignment="1">
      <alignment horizontal="center" vertical="center"/>
    </xf>
    <xf numFmtId="9" fontId="0" fillId="2" borderId="0" xfId="329" applyFont="1" applyFill="1" applyAlignment="1">
      <alignment/>
    </xf>
    <xf numFmtId="9" fontId="2" fillId="2" borderId="24" xfId="329" applyFont="1" applyFill="1" applyBorder="1" applyAlignment="1">
      <alignment vertical="top" wrapText="1"/>
    </xf>
    <xf numFmtId="4" fontId="0" fillId="0" borderId="0" xfId="0" applyNumberFormat="1" applyFont="1" applyBorder="1" applyAlignment="1">
      <alignment/>
    </xf>
    <xf numFmtId="4" fontId="0" fillId="73" borderId="0" xfId="0" applyNumberFormat="1" applyFont="1" applyFill="1" applyBorder="1" applyAlignment="1">
      <alignment/>
    </xf>
    <xf numFmtId="173" fontId="2" fillId="2" borderId="24" xfId="418" applyNumberFormat="1" applyFont="1" applyFill="1" applyBorder="1" applyAlignment="1">
      <alignment vertical="top" wrapText="1"/>
    </xf>
    <xf numFmtId="44" fontId="0" fillId="2" borderId="0" xfId="296" applyFont="1" applyFill="1" applyAlignment="1">
      <alignment/>
    </xf>
    <xf numFmtId="10" fontId="39" fillId="2" borderId="24" xfId="312" applyNumberFormat="1" applyFont="1" applyFill="1" applyBorder="1" applyAlignment="1">
      <alignment horizontal="center" vertical="top" wrapText="1"/>
      <protection/>
    </xf>
    <xf numFmtId="0" fontId="4" fillId="2" borderId="28" xfId="312" applyFont="1" applyFill="1" applyBorder="1" applyAlignment="1">
      <alignment horizontal="center" vertical="center"/>
      <protection/>
    </xf>
    <xf numFmtId="0" fontId="0" fillId="2" borderId="28" xfId="312" applyFill="1" applyBorder="1">
      <alignment/>
      <protection/>
    </xf>
    <xf numFmtId="10" fontId="2" fillId="2" borderId="28" xfId="312" applyNumberFormat="1" applyFont="1" applyFill="1" applyBorder="1" applyAlignment="1">
      <alignment vertical="top" wrapText="1"/>
      <protection/>
    </xf>
    <xf numFmtId="44" fontId="0" fillId="2" borderId="28" xfId="296" applyFont="1" applyFill="1" applyBorder="1" applyAlignment="1">
      <alignment/>
    </xf>
    <xf numFmtId="10" fontId="0" fillId="2" borderId="28" xfId="312" applyNumberFormat="1" applyFill="1" applyBorder="1">
      <alignment/>
      <protection/>
    </xf>
    <xf numFmtId="172" fontId="0" fillId="2" borderId="28" xfId="312" applyNumberFormat="1" applyFill="1" applyBorder="1">
      <alignment/>
      <protection/>
    </xf>
    <xf numFmtId="0" fontId="0" fillId="2" borderId="0" xfId="312" applyFill="1" applyBorder="1">
      <alignment/>
      <protection/>
    </xf>
    <xf numFmtId="10" fontId="39" fillId="2" borderId="28" xfId="312" applyNumberFormat="1" applyFont="1" applyFill="1" applyBorder="1" applyAlignment="1">
      <alignment vertical="top" wrapText="1"/>
      <protection/>
    </xf>
    <xf numFmtId="172" fontId="39" fillId="2" borderId="89" xfId="312" applyNumberFormat="1" applyFont="1" applyFill="1" applyBorder="1" applyAlignment="1">
      <alignment vertical="top" wrapText="1"/>
      <protection/>
    </xf>
    <xf numFmtId="0" fontId="0" fillId="2" borderId="35" xfId="312" applyFill="1" applyBorder="1">
      <alignment/>
      <protection/>
    </xf>
    <xf numFmtId="0" fontId="0" fillId="2" borderId="30" xfId="312" applyFill="1" applyBorder="1">
      <alignment/>
      <protection/>
    </xf>
    <xf numFmtId="0" fontId="0" fillId="2" borderId="31" xfId="312" applyFill="1" applyBorder="1">
      <alignment/>
      <protection/>
    </xf>
    <xf numFmtId="0" fontId="66" fillId="0" borderId="0" xfId="0" applyFont="1" applyBorder="1" applyAlignment="1">
      <alignment horizontal="center"/>
    </xf>
    <xf numFmtId="2" fontId="65" fillId="0" borderId="47" xfId="0" applyNumberFormat="1" applyFont="1" applyBorder="1" applyAlignment="1">
      <alignment horizontal="center"/>
    </xf>
    <xf numFmtId="2" fontId="65" fillId="0" borderId="81" xfId="0" applyNumberFormat="1" applyFont="1" applyBorder="1" applyAlignment="1">
      <alignment horizontal="center"/>
    </xf>
    <xf numFmtId="0" fontId="0" fillId="0" borderId="83" xfId="0" applyBorder="1" applyAlignment="1">
      <alignment horizontal="center"/>
    </xf>
    <xf numFmtId="0" fontId="0" fillId="0" borderId="47" xfId="0" applyBorder="1" applyAlignment="1">
      <alignment horizontal="center"/>
    </xf>
    <xf numFmtId="0" fontId="65" fillId="0" borderId="47" xfId="0" applyFont="1" applyBorder="1" applyAlignment="1">
      <alignment horizontal="center"/>
    </xf>
    <xf numFmtId="0" fontId="65" fillId="0" borderId="25" xfId="0" applyFont="1" applyBorder="1" applyAlignment="1">
      <alignment horizontal="center"/>
    </xf>
    <xf numFmtId="0" fontId="65" fillId="0" borderId="81" xfId="0" applyFont="1" applyBorder="1" applyAlignment="1">
      <alignment horizontal="center"/>
    </xf>
    <xf numFmtId="0" fontId="3" fillId="74" borderId="90" xfId="0" applyNumberFormat="1" applyFont="1" applyFill="1" applyBorder="1" applyAlignment="1">
      <alignment horizontal="center" vertical="center"/>
    </xf>
    <xf numFmtId="0" fontId="3" fillId="74" borderId="91" xfId="0" applyNumberFormat="1" applyFont="1" applyFill="1" applyBorder="1" applyAlignment="1">
      <alignment horizontal="center" vertical="center"/>
    </xf>
    <xf numFmtId="0" fontId="3" fillId="74" borderId="90" xfId="0" applyNumberFormat="1" applyFont="1" applyFill="1" applyBorder="1" applyAlignment="1">
      <alignment horizontal="center" vertical="center" wrapText="1"/>
    </xf>
    <xf numFmtId="49" fontId="3" fillId="74" borderId="54" xfId="0" applyNumberFormat="1" applyFont="1" applyFill="1" applyBorder="1" applyAlignment="1">
      <alignment horizontal="center" vertical="center" wrapText="1"/>
    </xf>
    <xf numFmtId="49" fontId="3" fillId="74" borderId="55" xfId="0" applyNumberFormat="1" applyFont="1" applyFill="1" applyBorder="1" applyAlignment="1">
      <alignment horizontal="center" vertical="center" wrapText="1"/>
    </xf>
    <xf numFmtId="0" fontId="0" fillId="72" borderId="43" xfId="0" applyFont="1" applyFill="1" applyBorder="1" applyAlignment="1">
      <alignment horizontal="left" vertical="center" wrapText="1"/>
    </xf>
    <xf numFmtId="0" fontId="0" fillId="72" borderId="41" xfId="0" applyFont="1" applyFill="1" applyBorder="1" applyAlignment="1">
      <alignment horizontal="left" vertical="center" wrapText="1"/>
    </xf>
    <xf numFmtId="0" fontId="0" fillId="72" borderId="45" xfId="0" applyFont="1" applyFill="1" applyBorder="1" applyAlignment="1">
      <alignment horizontal="left" vertical="center" wrapText="1"/>
    </xf>
    <xf numFmtId="0" fontId="66" fillId="0" borderId="66" xfId="0" applyFont="1" applyBorder="1" applyAlignment="1">
      <alignment horizontal="center" vertical="center" wrapText="1"/>
    </xf>
    <xf numFmtId="0" fontId="66" fillId="0" borderId="83" xfId="0" applyFont="1" applyBorder="1" applyAlignment="1">
      <alignment horizontal="center" vertical="center" wrapText="1"/>
    </xf>
    <xf numFmtId="0" fontId="66" fillId="0" borderId="47" xfId="0" applyFont="1" applyBorder="1" applyAlignment="1">
      <alignment horizontal="center" vertical="center" wrapText="1"/>
    </xf>
    <xf numFmtId="0" fontId="4" fillId="0" borderId="66" xfId="0" applyFont="1" applyBorder="1" applyAlignment="1">
      <alignment horizontal="center" vertical="center"/>
    </xf>
    <xf numFmtId="0" fontId="4" fillId="0" borderId="83" xfId="0" applyFont="1" applyBorder="1" applyAlignment="1">
      <alignment horizontal="center" vertical="center"/>
    </xf>
    <xf numFmtId="0" fontId="4" fillId="0" borderId="85" xfId="0" applyFont="1" applyBorder="1" applyAlignment="1">
      <alignment horizontal="center" vertical="center"/>
    </xf>
    <xf numFmtId="165" fontId="0" fillId="72" borderId="43" xfId="415" applyFont="1" applyFill="1" applyBorder="1" applyAlignment="1">
      <alignment horizontal="left" vertical="center" wrapText="1"/>
    </xf>
    <xf numFmtId="165" fontId="0" fillId="72" borderId="41" xfId="415" applyFont="1" applyFill="1" applyBorder="1" applyAlignment="1">
      <alignment horizontal="left" vertical="center" wrapText="1"/>
    </xf>
    <xf numFmtId="165" fontId="0" fillId="72" borderId="45" xfId="415" applyFont="1" applyFill="1" applyBorder="1" applyAlignment="1">
      <alignment horizontal="left" vertical="center" wrapText="1"/>
    </xf>
    <xf numFmtId="0" fontId="66" fillId="75" borderId="43" xfId="0" applyFont="1" applyFill="1" applyBorder="1" applyAlignment="1">
      <alignment horizontal="center"/>
    </xf>
    <xf numFmtId="0" fontId="66" fillId="75" borderId="41" xfId="0" applyFont="1" applyFill="1" applyBorder="1" applyAlignment="1">
      <alignment horizontal="center"/>
    </xf>
    <xf numFmtId="0" fontId="66" fillId="75" borderId="45" xfId="0" applyFont="1" applyFill="1" applyBorder="1" applyAlignment="1">
      <alignment horizontal="center"/>
    </xf>
    <xf numFmtId="0" fontId="66" fillId="0" borderId="0" xfId="0" applyFont="1" applyBorder="1" applyAlignment="1">
      <alignment horizontal="center"/>
    </xf>
    <xf numFmtId="0" fontId="66" fillId="0" borderId="35" xfId="0" applyFont="1" applyBorder="1" applyAlignment="1">
      <alignment horizontal="center"/>
    </xf>
    <xf numFmtId="0" fontId="66" fillId="71" borderId="43" xfId="0" applyFont="1" applyFill="1" applyBorder="1" applyAlignment="1">
      <alignment horizontal="center" vertical="center" wrapText="1"/>
    </xf>
    <xf numFmtId="0" fontId="66" fillId="71" borderId="41" xfId="0" applyFont="1" applyFill="1" applyBorder="1" applyAlignment="1">
      <alignment horizontal="center" vertical="center" wrapText="1"/>
    </xf>
    <xf numFmtId="0" fontId="66" fillId="77" borderId="43" xfId="0" applyFont="1" applyFill="1" applyBorder="1" applyAlignment="1">
      <alignment horizontal="center"/>
    </xf>
    <xf numFmtId="0" fontId="66" fillId="77" borderId="41" xfId="0" applyFont="1" applyFill="1" applyBorder="1" applyAlignment="1">
      <alignment horizontal="center"/>
    </xf>
    <xf numFmtId="0" fontId="66" fillId="77" borderId="45" xfId="0" applyFont="1" applyFill="1" applyBorder="1" applyAlignment="1">
      <alignment horizontal="center"/>
    </xf>
    <xf numFmtId="0" fontId="66" fillId="71" borderId="43" xfId="0" applyFont="1" applyFill="1" applyBorder="1" applyAlignment="1">
      <alignment horizontal="center" vertical="center"/>
    </xf>
    <xf numFmtId="0" fontId="66" fillId="71" borderId="41" xfId="0" applyFont="1" applyFill="1" applyBorder="1" applyAlignment="1">
      <alignment horizontal="center" vertical="center"/>
    </xf>
    <xf numFmtId="0" fontId="66" fillId="71" borderId="45" xfId="0" applyFont="1" applyFill="1" applyBorder="1" applyAlignment="1">
      <alignment horizontal="center" vertical="center"/>
    </xf>
    <xf numFmtId="0" fontId="65" fillId="72" borderId="43" xfId="0" applyFont="1" applyFill="1" applyBorder="1" applyAlignment="1">
      <alignment horizontal="left" vertical="center" wrapText="1"/>
    </xf>
    <xf numFmtId="0" fontId="65" fillId="72" borderId="41" xfId="0" applyFont="1" applyFill="1" applyBorder="1" applyAlignment="1">
      <alignment horizontal="left" vertical="center" wrapText="1"/>
    </xf>
    <xf numFmtId="0" fontId="65" fillId="72" borderId="45" xfId="0" applyFont="1" applyFill="1" applyBorder="1" applyAlignment="1">
      <alignment horizontal="left" vertical="center" wrapText="1"/>
    </xf>
    <xf numFmtId="0" fontId="65" fillId="0" borderId="23" xfId="0" applyFont="1" applyBorder="1" applyAlignment="1">
      <alignment horizontal="center" vertical="center"/>
    </xf>
    <xf numFmtId="0" fontId="65" fillId="0" borderId="36" xfId="0" applyFont="1" applyBorder="1" applyAlignment="1">
      <alignment horizontal="center" vertical="center"/>
    </xf>
    <xf numFmtId="0" fontId="66" fillId="71" borderId="45" xfId="0" applyFont="1" applyFill="1" applyBorder="1" applyAlignment="1">
      <alignment horizontal="center" vertical="center" wrapText="1"/>
    </xf>
    <xf numFmtId="0" fontId="65" fillId="72" borderId="43" xfId="0" applyFont="1" applyFill="1" applyBorder="1" applyAlignment="1">
      <alignment horizontal="center" vertical="center"/>
    </xf>
    <xf numFmtId="0" fontId="65" fillId="72" borderId="41" xfId="0" applyFont="1" applyFill="1" applyBorder="1" applyAlignment="1">
      <alignment horizontal="center" vertical="center"/>
    </xf>
    <xf numFmtId="0" fontId="65" fillId="72" borderId="45" xfId="0" applyFont="1" applyFill="1" applyBorder="1" applyAlignment="1">
      <alignment horizontal="center" vertical="center"/>
    </xf>
    <xf numFmtId="0" fontId="65" fillId="72" borderId="43" xfId="0" applyFont="1" applyFill="1" applyBorder="1" applyAlignment="1">
      <alignment horizontal="center" vertical="center" wrapText="1"/>
    </xf>
    <xf numFmtId="0" fontId="65" fillId="72" borderId="41" xfId="0" applyFont="1" applyFill="1" applyBorder="1" applyAlignment="1">
      <alignment horizontal="center" vertical="center" wrapText="1"/>
    </xf>
    <xf numFmtId="0" fontId="66" fillId="76" borderId="24" xfId="0" applyFont="1" applyFill="1" applyBorder="1" applyAlignment="1">
      <alignment horizontal="center"/>
    </xf>
    <xf numFmtId="0" fontId="41" fillId="75" borderId="43" xfId="0" applyFont="1" applyFill="1" applyBorder="1" applyAlignment="1">
      <alignment horizontal="center" vertical="center"/>
    </xf>
    <xf numFmtId="0" fontId="42" fillId="75" borderId="41" xfId="0" applyFont="1" applyFill="1" applyBorder="1" applyAlignment="1">
      <alignment horizontal="center" vertical="center"/>
    </xf>
    <xf numFmtId="0" fontId="42" fillId="75" borderId="45" xfId="0" applyFont="1" applyFill="1" applyBorder="1" applyAlignment="1">
      <alignment horizontal="center" vertical="center"/>
    </xf>
    <xf numFmtId="0" fontId="66" fillId="71" borderId="43" xfId="0" applyFont="1" applyFill="1" applyBorder="1" applyAlignment="1">
      <alignment horizontal="center"/>
    </xf>
    <xf numFmtId="0" fontId="66" fillId="71" borderId="41" xfId="0" applyFont="1" applyFill="1" applyBorder="1" applyAlignment="1">
      <alignment horizontal="center"/>
    </xf>
    <xf numFmtId="0" fontId="66" fillId="71" borderId="45" xfId="0" applyFont="1" applyFill="1" applyBorder="1" applyAlignment="1">
      <alignment horizontal="center"/>
    </xf>
    <xf numFmtId="0" fontId="66" fillId="0" borderId="24" xfId="0" applyFont="1" applyBorder="1" applyAlignment="1">
      <alignment horizontal="center" vertical="center" wrapText="1"/>
    </xf>
    <xf numFmtId="0" fontId="0" fillId="0" borderId="0" xfId="0" applyFont="1" applyBorder="1" applyAlignment="1">
      <alignment horizontal="center" vertical="center"/>
    </xf>
    <xf numFmtId="0" fontId="0" fillId="0" borderId="2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6" xfId="0" applyFont="1" applyBorder="1" applyAlignment="1">
      <alignment horizontal="center" vertical="center"/>
    </xf>
    <xf numFmtId="0" fontId="0" fillId="0" borderId="40" xfId="0" applyFont="1" applyBorder="1" applyAlignment="1">
      <alignment horizontal="center" vertical="center"/>
    </xf>
    <xf numFmtId="0" fontId="26" fillId="72" borderId="41" xfId="0" applyFont="1" applyFill="1" applyBorder="1" applyAlignment="1">
      <alignment horizontal="left" vertical="center" wrapText="1"/>
    </xf>
    <xf numFmtId="0" fontId="26" fillId="72" borderId="45" xfId="0" applyFont="1" applyFill="1" applyBorder="1" applyAlignment="1">
      <alignment horizontal="left" vertical="center" wrapText="1"/>
    </xf>
    <xf numFmtId="0" fontId="66" fillId="76" borderId="66" xfId="0" applyFont="1" applyFill="1" applyBorder="1" applyAlignment="1">
      <alignment horizontal="center"/>
    </xf>
    <xf numFmtId="0" fontId="66" fillId="76" borderId="83" xfId="0" applyFont="1" applyFill="1" applyBorder="1" applyAlignment="1">
      <alignment horizontal="center"/>
    </xf>
    <xf numFmtId="0" fontId="66" fillId="76" borderId="85" xfId="0" applyFont="1" applyFill="1" applyBorder="1" applyAlignment="1">
      <alignment horizontal="center"/>
    </xf>
    <xf numFmtId="0" fontId="65" fillId="72" borderId="43" xfId="0" applyFont="1" applyFill="1" applyBorder="1" applyAlignment="1">
      <alignment horizontal="left" vertical="top" wrapText="1"/>
    </xf>
    <xf numFmtId="0" fontId="65" fillId="72" borderId="41" xfId="0" applyFont="1" applyFill="1" applyBorder="1" applyAlignment="1">
      <alignment horizontal="left" vertical="top" wrapText="1"/>
    </xf>
    <xf numFmtId="0" fontId="65" fillId="72" borderId="45" xfId="0" applyFont="1" applyFill="1" applyBorder="1" applyAlignment="1">
      <alignment horizontal="left" vertical="top" wrapText="1"/>
    </xf>
    <xf numFmtId="0" fontId="0" fillId="0" borderId="32" xfId="0" applyBorder="1" applyAlignment="1">
      <alignment horizontal="center"/>
    </xf>
    <xf numFmtId="0" fontId="0" fillId="0" borderId="33" xfId="0" applyBorder="1" applyAlignment="1">
      <alignment horizontal="center"/>
    </xf>
    <xf numFmtId="0" fontId="0" fillId="0" borderId="33" xfId="0" applyBorder="1" applyAlignment="1">
      <alignment horizontal="center" wrapText="1"/>
    </xf>
    <xf numFmtId="0" fontId="0" fillId="0" borderId="34" xfId="0" applyBorder="1" applyAlignment="1">
      <alignment horizontal="center" wrapText="1"/>
    </xf>
    <xf numFmtId="0" fontId="0" fillId="0" borderId="29"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92"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93" xfId="0" applyFont="1" applyFill="1" applyBorder="1" applyAlignment="1">
      <alignment horizontal="left" vertical="center" wrapText="1"/>
    </xf>
    <xf numFmtId="0" fontId="4" fillId="0" borderId="66" xfId="0" applyFont="1" applyFill="1" applyBorder="1" applyAlignment="1">
      <alignment horizontal="left" vertical="center"/>
    </xf>
    <xf numFmtId="0" fontId="4" fillId="0" borderId="83" xfId="0" applyFont="1" applyFill="1" applyBorder="1" applyAlignment="1">
      <alignment horizontal="left" vertical="center"/>
    </xf>
    <xf numFmtId="0" fontId="4" fillId="0" borderId="85" xfId="0" applyFont="1" applyFill="1" applyBorder="1" applyAlignment="1">
      <alignment horizontal="left" vertical="center"/>
    </xf>
    <xf numFmtId="0" fontId="4" fillId="0" borderId="94" xfId="0" applyFont="1" applyFill="1" applyBorder="1" applyAlignment="1">
      <alignment horizontal="left" vertical="center" wrapText="1"/>
    </xf>
    <xf numFmtId="0" fontId="4" fillId="0" borderId="83"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6"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82" xfId="0" applyFont="1" applyFill="1" applyBorder="1" applyAlignment="1">
      <alignment horizontal="left" vertical="center"/>
    </xf>
    <xf numFmtId="0" fontId="4" fillId="0" borderId="95"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5" xfId="0" applyFont="1" applyFill="1" applyBorder="1" applyAlignment="1">
      <alignment horizontal="left" vertical="center" wrapText="1"/>
    </xf>
    <xf numFmtId="0" fontId="2" fillId="0" borderId="48" xfId="0" applyFont="1" applyBorder="1" applyAlignment="1">
      <alignment horizontal="center" vertical="center"/>
    </xf>
    <xf numFmtId="0" fontId="3" fillId="0" borderId="30" xfId="0" applyFont="1" applyBorder="1" applyAlignment="1">
      <alignment horizontal="center" vertical="center"/>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35" fillId="71" borderId="29" xfId="0" applyFont="1" applyFill="1" applyBorder="1" applyAlignment="1">
      <alignment horizontal="right" vertical="center" wrapText="1"/>
    </xf>
    <xf numFmtId="0" fontId="35" fillId="71" borderId="30" xfId="0" applyFont="1" applyFill="1" applyBorder="1" applyAlignment="1">
      <alignment horizontal="right" vertical="center" wrapText="1"/>
    </xf>
    <xf numFmtId="0" fontId="35" fillId="71" borderId="31" xfId="0" applyFont="1" applyFill="1" applyBorder="1" applyAlignment="1">
      <alignment horizontal="right" vertical="center" wrapText="1"/>
    </xf>
    <xf numFmtId="0" fontId="35" fillId="0" borderId="43" xfId="0" applyFont="1" applyBorder="1" applyAlignment="1">
      <alignment horizontal="center" vertical="center" wrapText="1"/>
    </xf>
    <xf numFmtId="0" fontId="35" fillId="0" borderId="41" xfId="0" applyFont="1" applyBorder="1" applyAlignment="1">
      <alignment horizontal="center" vertical="center" wrapText="1"/>
    </xf>
    <xf numFmtId="0" fontId="35" fillId="0" borderId="45" xfId="0" applyFont="1" applyBorder="1" applyAlignment="1">
      <alignment horizontal="center" vertical="center" wrapText="1"/>
    </xf>
    <xf numFmtId="0" fontId="2" fillId="0" borderId="40" xfId="0" applyFont="1" applyBorder="1" applyAlignment="1">
      <alignment horizontal="center" vertical="center"/>
    </xf>
    <xf numFmtId="0" fontId="3" fillId="0" borderId="0" xfId="0" applyFont="1" applyBorder="1" applyAlignment="1">
      <alignment horizontal="center" vertical="center"/>
    </xf>
    <xf numFmtId="0" fontId="4" fillId="0" borderId="24" xfId="312" applyFont="1" applyBorder="1" applyAlignment="1">
      <alignment horizontal="center"/>
      <protection/>
    </xf>
    <xf numFmtId="2" fontId="4" fillId="0" borderId="24" xfId="312" applyNumberFormat="1" applyFont="1" applyBorder="1" applyAlignment="1">
      <alignment horizontal="center"/>
      <protection/>
    </xf>
    <xf numFmtId="0" fontId="0" fillId="0" borderId="24" xfId="312" applyBorder="1" applyAlignment="1">
      <alignment horizontal="right"/>
      <protection/>
    </xf>
    <xf numFmtId="10" fontId="0" fillId="0" borderId="24" xfId="332" applyNumberFormat="1" applyFont="1" applyBorder="1" applyAlignment="1">
      <alignment horizontal="center"/>
    </xf>
    <xf numFmtId="10" fontId="0" fillId="0" borderId="24" xfId="312" applyNumberFormat="1" applyBorder="1" applyAlignment="1">
      <alignment horizontal="center"/>
      <protection/>
    </xf>
    <xf numFmtId="0" fontId="4" fillId="0" borderId="24" xfId="312" applyFont="1" applyBorder="1" applyAlignment="1">
      <alignment horizontal="center" vertical="center"/>
      <protection/>
    </xf>
    <xf numFmtId="0" fontId="4" fillId="0" borderId="42" xfId="312" applyFont="1" applyBorder="1" applyAlignment="1">
      <alignment horizontal="center"/>
      <protection/>
    </xf>
    <xf numFmtId="0" fontId="4" fillId="0" borderId="79" xfId="312" applyFont="1" applyBorder="1" applyAlignment="1">
      <alignment horizontal="center"/>
      <protection/>
    </xf>
    <xf numFmtId="0" fontId="4" fillId="0" borderId="47" xfId="312" applyFont="1" applyBorder="1" applyAlignment="1">
      <alignment horizontal="left" vertical="center"/>
      <protection/>
    </xf>
    <xf numFmtId="0" fontId="4" fillId="0" borderId="25" xfId="312" applyFont="1" applyBorder="1" applyAlignment="1">
      <alignment horizontal="center" vertical="top"/>
      <protection/>
    </xf>
    <xf numFmtId="0" fontId="4" fillId="0" borderId="96" xfId="312" applyFont="1" applyBorder="1" applyAlignment="1">
      <alignment horizontal="center" vertical="top"/>
      <protection/>
    </xf>
    <xf numFmtId="0" fontId="2" fillId="0" borderId="0" xfId="312" applyFont="1" applyAlignment="1">
      <alignment horizontal="center" vertical="top" wrapText="1"/>
      <protection/>
    </xf>
    <xf numFmtId="0" fontId="2" fillId="0" borderId="0" xfId="312" applyFont="1" applyAlignment="1">
      <alignment horizontal="center" vertical="top"/>
      <protection/>
    </xf>
    <xf numFmtId="10" fontId="4" fillId="0" borderId="24" xfId="332" applyNumberFormat="1" applyFont="1" applyBorder="1" applyAlignment="1">
      <alignment horizontal="center" vertical="center"/>
    </xf>
    <xf numFmtId="0" fontId="0" fillId="0" borderId="0" xfId="312" applyAlignment="1">
      <alignment horizontal="center" vertical="center"/>
      <protection/>
    </xf>
    <xf numFmtId="0" fontId="39" fillId="0" borderId="26" xfId="312" applyFont="1" applyBorder="1" applyAlignment="1">
      <alignment horizontal="center" vertical="center" wrapText="1"/>
      <protection/>
    </xf>
    <xf numFmtId="0" fontId="0" fillId="0" borderId="92" xfId="0" applyBorder="1" applyAlignment="1">
      <alignment horizontal="center"/>
    </xf>
    <xf numFmtId="0" fontId="0" fillId="0" borderId="37" xfId="0" applyBorder="1" applyAlignment="1">
      <alignment horizontal="center"/>
    </xf>
    <xf numFmtId="0" fontId="0" fillId="0" borderId="97" xfId="0" applyBorder="1" applyAlignment="1">
      <alignment horizontal="center"/>
    </xf>
    <xf numFmtId="0" fontId="4" fillId="2" borderId="94" xfId="312" applyFont="1" applyFill="1" applyBorder="1" applyAlignment="1">
      <alignment horizontal="center" vertical="center"/>
      <protection/>
    </xf>
    <xf numFmtId="0" fontId="4" fillId="2" borderId="83" xfId="312" applyFont="1" applyFill="1" applyBorder="1" applyAlignment="1">
      <alignment horizontal="center" vertical="center"/>
      <protection/>
    </xf>
    <xf numFmtId="0" fontId="4" fillId="2" borderId="40" xfId="312" applyFont="1" applyFill="1" applyBorder="1" applyAlignment="1">
      <alignment horizontal="center" vertical="center"/>
      <protection/>
    </xf>
    <xf numFmtId="0" fontId="4" fillId="2" borderId="85" xfId="312" applyFont="1" applyFill="1" applyBorder="1" applyAlignment="1">
      <alignment horizontal="center" vertical="center"/>
      <protection/>
    </xf>
    <xf numFmtId="0" fontId="4" fillId="2" borderId="26" xfId="312" applyFont="1" applyFill="1" applyBorder="1" applyAlignment="1">
      <alignment horizontal="center" vertical="center" wrapText="1"/>
      <protection/>
    </xf>
    <xf numFmtId="0" fontId="4" fillId="2" borderId="24" xfId="312" applyFont="1" applyFill="1" applyBorder="1" applyAlignment="1">
      <alignment horizontal="center" vertical="center" wrapText="1"/>
      <protection/>
    </xf>
    <xf numFmtId="0" fontId="4" fillId="2" borderId="24" xfId="312" applyFont="1" applyFill="1" applyBorder="1" applyAlignment="1">
      <alignment horizontal="center" vertical="center"/>
      <protection/>
    </xf>
    <xf numFmtId="0" fontId="4" fillId="2" borderId="66" xfId="312" applyFont="1" applyFill="1" applyBorder="1" applyAlignment="1">
      <alignment horizontal="center" vertical="center"/>
      <protection/>
    </xf>
    <xf numFmtId="172" fontId="4" fillId="2" borderId="79" xfId="312" applyNumberFormat="1" applyFont="1" applyFill="1" applyBorder="1" applyAlignment="1">
      <alignment horizontal="center" vertical="center"/>
      <protection/>
    </xf>
    <xf numFmtId="172" fontId="4" fillId="2" borderId="40" xfId="312" applyNumberFormat="1" applyFont="1" applyFill="1" applyBorder="1" applyAlignment="1">
      <alignment horizontal="center" vertical="center"/>
      <protection/>
    </xf>
    <xf numFmtId="172" fontId="4" fillId="2" borderId="96" xfId="312" applyNumberFormat="1" applyFont="1" applyFill="1" applyBorder="1" applyAlignment="1">
      <alignment horizontal="center" vertical="center"/>
      <protection/>
    </xf>
    <xf numFmtId="172" fontId="4" fillId="2" borderId="46" xfId="312" applyNumberFormat="1" applyFont="1" applyFill="1" applyBorder="1" applyAlignment="1">
      <alignment horizontal="center" vertical="center"/>
      <protection/>
    </xf>
    <xf numFmtId="0" fontId="39" fillId="2" borderId="40" xfId="312" applyFont="1" applyFill="1" applyBorder="1" applyAlignment="1">
      <alignment horizontal="center" vertical="center"/>
      <protection/>
    </xf>
    <xf numFmtId="0" fontId="39" fillId="2" borderId="98" xfId="312" applyFont="1" applyFill="1" applyBorder="1" applyAlignment="1">
      <alignment horizontal="center" vertical="center"/>
      <protection/>
    </xf>
    <xf numFmtId="0" fontId="39" fillId="2" borderId="46" xfId="312" applyFont="1" applyFill="1" applyBorder="1" applyAlignment="1">
      <alignment horizontal="center" vertical="center"/>
      <protection/>
    </xf>
    <xf numFmtId="0" fontId="39" fillId="2" borderId="38" xfId="312" applyFont="1" applyFill="1" applyBorder="1" applyAlignment="1">
      <alignment horizontal="center" vertical="center"/>
      <protection/>
    </xf>
    <xf numFmtId="0" fontId="68" fillId="0" borderId="24" xfId="0" applyFont="1" applyFill="1" applyBorder="1" applyAlignment="1">
      <alignment horizontal="left" vertical="center" wrapText="1"/>
    </xf>
    <xf numFmtId="0" fontId="3" fillId="0" borderId="48" xfId="0" applyFont="1" applyBorder="1" applyAlignment="1">
      <alignment horizontal="center" vertical="center"/>
    </xf>
    <xf numFmtId="0" fontId="4" fillId="2" borderId="99" xfId="312" applyFont="1" applyFill="1" applyBorder="1" applyAlignment="1">
      <alignment horizontal="center" vertical="center" wrapText="1"/>
      <protection/>
    </xf>
    <xf numFmtId="0" fontId="4" fillId="2" borderId="58" xfId="312" applyFont="1" applyFill="1" applyBorder="1" applyAlignment="1">
      <alignment horizontal="center" vertical="center" wrapText="1"/>
      <protection/>
    </xf>
    <xf numFmtId="0" fontId="3" fillId="0" borderId="40" xfId="0" applyFont="1" applyBorder="1" applyAlignment="1">
      <alignment horizontal="center" vertical="center"/>
    </xf>
    <xf numFmtId="0" fontId="29" fillId="78" borderId="32" xfId="0" applyFont="1" applyFill="1" applyBorder="1" applyAlignment="1" applyProtection="1">
      <alignment horizontal="center" vertical="center"/>
      <protection/>
    </xf>
    <xf numFmtId="0" fontId="29" fillId="78" borderId="33" xfId="0" applyFont="1" applyFill="1" applyBorder="1" applyAlignment="1" applyProtection="1">
      <alignment horizontal="center" vertical="center"/>
      <protection/>
    </xf>
    <xf numFmtId="0" fontId="29" fillId="78" borderId="34" xfId="0" applyFont="1" applyFill="1" applyBorder="1" applyAlignment="1" applyProtection="1">
      <alignment horizontal="center" vertical="center"/>
      <protection/>
    </xf>
    <xf numFmtId="0" fontId="29" fillId="73" borderId="0" xfId="0" applyFont="1" applyFill="1" applyBorder="1" applyAlignment="1" applyProtection="1">
      <alignment horizontal="center" vertical="center"/>
      <protection/>
    </xf>
    <xf numFmtId="0" fontId="29" fillId="73" borderId="35" xfId="0" applyFont="1" applyFill="1" applyBorder="1" applyAlignment="1" applyProtection="1">
      <alignment horizontal="center" vertical="center"/>
      <protection/>
    </xf>
    <xf numFmtId="0" fontId="4" fillId="0" borderId="85" xfId="0" applyFont="1" applyFill="1" applyBorder="1" applyAlignment="1">
      <alignment horizontal="left" vertical="center" wrapText="1"/>
    </xf>
  </cellXfs>
  <cellStyles count="408">
    <cellStyle name="Normal" xfId="0"/>
    <cellStyle name="20% - Accent1" xfId="15"/>
    <cellStyle name="20% - Accent2" xfId="16"/>
    <cellStyle name="20% - Accent3" xfId="17"/>
    <cellStyle name="20% - Accent4" xfId="18"/>
    <cellStyle name="20% - Accent5" xfId="19"/>
    <cellStyle name="20% - Accent6" xfId="20"/>
    <cellStyle name="20% - Ênfase1" xfId="21"/>
    <cellStyle name="20% - Ênfase1 1" xfId="22"/>
    <cellStyle name="20% - Ênfase1 2" xfId="23"/>
    <cellStyle name="20% - Ênfase1 3" xfId="24"/>
    <cellStyle name="20% - Ênfase1 4" xfId="25"/>
    <cellStyle name="20% - Ênfase1 5" xfId="26"/>
    <cellStyle name="20% - Ênfase1 6" xfId="27"/>
    <cellStyle name="20% - Ênfase1 7" xfId="28"/>
    <cellStyle name="20% - Ênfase2" xfId="29"/>
    <cellStyle name="20% - Ênfase2 1" xfId="30"/>
    <cellStyle name="20% - Ênfase2 2" xfId="31"/>
    <cellStyle name="20% - Ênfase2 3" xfId="32"/>
    <cellStyle name="20% - Ênfase2 4" xfId="33"/>
    <cellStyle name="20% - Ênfase2 5" xfId="34"/>
    <cellStyle name="20% - Ênfase2 6" xfId="35"/>
    <cellStyle name="20% - Ênfase2 7" xfId="36"/>
    <cellStyle name="20% - Ênfase3" xfId="37"/>
    <cellStyle name="20% - Ênfase3 1" xfId="38"/>
    <cellStyle name="20% - Ênfase3 2" xfId="39"/>
    <cellStyle name="20% - Ênfase3 3" xfId="40"/>
    <cellStyle name="20% - Ênfase3 4" xfId="41"/>
    <cellStyle name="20% - Ênfase3 5" xfId="42"/>
    <cellStyle name="20% - Ênfase3 6" xfId="43"/>
    <cellStyle name="20% - Ênfase3 7" xfId="44"/>
    <cellStyle name="20% - Ênfase4" xfId="45"/>
    <cellStyle name="20% - Ênfase4 1" xfId="46"/>
    <cellStyle name="20% - Ênfase4 2" xfId="47"/>
    <cellStyle name="20% - Ênfase4 3" xfId="48"/>
    <cellStyle name="20% - Ênfase4 4" xfId="49"/>
    <cellStyle name="20% - Ênfase4 5" xfId="50"/>
    <cellStyle name="20% - Ênfase4 6" xfId="51"/>
    <cellStyle name="20% - Ênfase4 7" xfId="52"/>
    <cellStyle name="20% - Ênfase5" xfId="53"/>
    <cellStyle name="20% - Ênfase5 1" xfId="54"/>
    <cellStyle name="20% - Ênfase5 2" xfId="55"/>
    <cellStyle name="20% - Ênfase5 3" xfId="56"/>
    <cellStyle name="20% - Ênfase5 4" xfId="57"/>
    <cellStyle name="20% - Ênfase5 5" xfId="58"/>
    <cellStyle name="20% - Ênfase5 6" xfId="59"/>
    <cellStyle name="20% - Ênfase5 7" xfId="60"/>
    <cellStyle name="20% - Ênfase6" xfId="61"/>
    <cellStyle name="20% - Ênfase6 1" xfId="62"/>
    <cellStyle name="20% - Ênfase6 2" xfId="63"/>
    <cellStyle name="20% - Ênfase6 3" xfId="64"/>
    <cellStyle name="20% - Ênfase6 4" xfId="65"/>
    <cellStyle name="20% - Ênfase6 5" xfId="66"/>
    <cellStyle name="20% - Ênfase6 6" xfId="67"/>
    <cellStyle name="20% - Ênfase6 7" xfId="68"/>
    <cellStyle name="40% - Accent1" xfId="69"/>
    <cellStyle name="40% - Accent2" xfId="70"/>
    <cellStyle name="40% - Accent3" xfId="71"/>
    <cellStyle name="40% - Accent4" xfId="72"/>
    <cellStyle name="40% - Accent5" xfId="73"/>
    <cellStyle name="40% - Accent6" xfId="74"/>
    <cellStyle name="40% - Ênfase1" xfId="75"/>
    <cellStyle name="40% - Ênfase1 1" xfId="76"/>
    <cellStyle name="40% - Ênfase1 2" xfId="77"/>
    <cellStyle name="40% - Ênfase1 3" xfId="78"/>
    <cellStyle name="40% - Ênfase1 4" xfId="79"/>
    <cellStyle name="40% - Ênfase1 5" xfId="80"/>
    <cellStyle name="40% - Ênfase1 6" xfId="81"/>
    <cellStyle name="40% - Ênfase1 7" xfId="82"/>
    <cellStyle name="40% - Ênfase2" xfId="83"/>
    <cellStyle name="40% - Ênfase2 1" xfId="84"/>
    <cellStyle name="40% - Ênfase2 2" xfId="85"/>
    <cellStyle name="40% - Ênfase2 3" xfId="86"/>
    <cellStyle name="40% - Ênfase2 4" xfId="87"/>
    <cellStyle name="40% - Ênfase2 5" xfId="88"/>
    <cellStyle name="40% - Ênfase2 6" xfId="89"/>
    <cellStyle name="40% - Ênfase2 7" xfId="90"/>
    <cellStyle name="40% - Ênfase3" xfId="91"/>
    <cellStyle name="40% - Ênfase3 1" xfId="92"/>
    <cellStyle name="40% - Ênfase3 2" xfId="93"/>
    <cellStyle name="40% - Ênfase3 3" xfId="94"/>
    <cellStyle name="40% - Ênfase3 4" xfId="95"/>
    <cellStyle name="40% - Ênfase3 5" xfId="96"/>
    <cellStyle name="40% - Ênfase3 6" xfId="97"/>
    <cellStyle name="40% - Ênfase3 7" xfId="98"/>
    <cellStyle name="40% - Ênfase4" xfId="99"/>
    <cellStyle name="40% - Ênfase4 1" xfId="100"/>
    <cellStyle name="40% - Ênfase4 2" xfId="101"/>
    <cellStyle name="40% - Ênfase4 3" xfId="102"/>
    <cellStyle name="40% - Ênfase4 4" xfId="103"/>
    <cellStyle name="40% - Ênfase4 5" xfId="104"/>
    <cellStyle name="40% - Ênfase4 6" xfId="105"/>
    <cellStyle name="40% - Ênfase4 7" xfId="106"/>
    <cellStyle name="40% - Ênfase5" xfId="107"/>
    <cellStyle name="40% - Ênfase5 1" xfId="108"/>
    <cellStyle name="40% - Ênfase5 2" xfId="109"/>
    <cellStyle name="40% - Ênfase5 3" xfId="110"/>
    <cellStyle name="40% - Ênfase5 4" xfId="111"/>
    <cellStyle name="40% - Ênfase5 5" xfId="112"/>
    <cellStyle name="40% - Ênfase5 6" xfId="113"/>
    <cellStyle name="40% - Ênfase5 7" xfId="114"/>
    <cellStyle name="40% - Ênfase6" xfId="115"/>
    <cellStyle name="40% - Ênfase6 1" xfId="116"/>
    <cellStyle name="40% - Ênfase6 2" xfId="117"/>
    <cellStyle name="40% - Ênfase6 3" xfId="118"/>
    <cellStyle name="40% - Ênfase6 4" xfId="119"/>
    <cellStyle name="40% - Ênfase6 5" xfId="120"/>
    <cellStyle name="40% - Ênfase6 6" xfId="121"/>
    <cellStyle name="40% - Ênfase6 7" xfId="122"/>
    <cellStyle name="60% - Accent1" xfId="123"/>
    <cellStyle name="60% - Accent2" xfId="124"/>
    <cellStyle name="60% - Accent3" xfId="125"/>
    <cellStyle name="60% - Accent4" xfId="126"/>
    <cellStyle name="60% - Accent5" xfId="127"/>
    <cellStyle name="60% - Accent6" xfId="128"/>
    <cellStyle name="60% - Ênfase1" xfId="129"/>
    <cellStyle name="60% - Ênfase1 1" xfId="130"/>
    <cellStyle name="60% - Ênfase1 2" xfId="131"/>
    <cellStyle name="60% - Ênfase1 3" xfId="132"/>
    <cellStyle name="60% - Ênfase1 4" xfId="133"/>
    <cellStyle name="60% - Ênfase1 5" xfId="134"/>
    <cellStyle name="60% - Ênfase1 6" xfId="135"/>
    <cellStyle name="60% - Ênfase1 7" xfId="136"/>
    <cellStyle name="60% - Ênfase2" xfId="137"/>
    <cellStyle name="60% - Ênfase2 1" xfId="138"/>
    <cellStyle name="60% - Ênfase2 2" xfId="139"/>
    <cellStyle name="60% - Ênfase2 3" xfId="140"/>
    <cellStyle name="60% - Ênfase2 4" xfId="141"/>
    <cellStyle name="60% - Ênfase2 5" xfId="142"/>
    <cellStyle name="60% - Ênfase2 6" xfId="143"/>
    <cellStyle name="60% - Ênfase2 7" xfId="144"/>
    <cellStyle name="60% - Ênfase3" xfId="145"/>
    <cellStyle name="60% - Ênfase3 1" xfId="146"/>
    <cellStyle name="60% - Ênfase3 2" xfId="147"/>
    <cellStyle name="60% - Ênfase3 3" xfId="148"/>
    <cellStyle name="60% - Ênfase3 4" xfId="149"/>
    <cellStyle name="60% - Ênfase3 5" xfId="150"/>
    <cellStyle name="60% - Ênfase3 6" xfId="151"/>
    <cellStyle name="60% - Ênfase3 7" xfId="152"/>
    <cellStyle name="60% - Ênfase4" xfId="153"/>
    <cellStyle name="60% - Ênfase4 1" xfId="154"/>
    <cellStyle name="60% - Ênfase4 2" xfId="155"/>
    <cellStyle name="60% - Ênfase4 3" xfId="156"/>
    <cellStyle name="60% - Ênfase4 4" xfId="157"/>
    <cellStyle name="60% - Ênfase4 5" xfId="158"/>
    <cellStyle name="60% - Ênfase4 6" xfId="159"/>
    <cellStyle name="60% - Ênfase4 7" xfId="160"/>
    <cellStyle name="60% - Ênfase5" xfId="161"/>
    <cellStyle name="60% - Ênfase5 1" xfId="162"/>
    <cellStyle name="60% - Ênfase5 2" xfId="163"/>
    <cellStyle name="60% - Ênfase5 3" xfId="164"/>
    <cellStyle name="60% - Ênfase5 4" xfId="165"/>
    <cellStyle name="60% - Ênfase5 5" xfId="166"/>
    <cellStyle name="60% - Ênfase5 6" xfId="167"/>
    <cellStyle name="60% - Ênfase5 7" xfId="168"/>
    <cellStyle name="60% - Ênfase6" xfId="169"/>
    <cellStyle name="60% - Ênfase6 1" xfId="170"/>
    <cellStyle name="60% - Ênfase6 2" xfId="171"/>
    <cellStyle name="60% - Ênfase6 3" xfId="172"/>
    <cellStyle name="60% - Ênfase6 4" xfId="173"/>
    <cellStyle name="60% - Ênfase6 5" xfId="174"/>
    <cellStyle name="60% - Ênfase6 6" xfId="175"/>
    <cellStyle name="60% - Ênfase6 7" xfId="176"/>
    <cellStyle name="Accent1" xfId="177"/>
    <cellStyle name="Accent2" xfId="178"/>
    <cellStyle name="Accent3" xfId="179"/>
    <cellStyle name="Accent4" xfId="180"/>
    <cellStyle name="Accent5" xfId="181"/>
    <cellStyle name="Accent6" xfId="182"/>
    <cellStyle name="Bad" xfId="183"/>
    <cellStyle name="Bom" xfId="184"/>
    <cellStyle name="Bom 1" xfId="185"/>
    <cellStyle name="Bom 2" xfId="186"/>
    <cellStyle name="Bom 3" xfId="187"/>
    <cellStyle name="Bom 4" xfId="188"/>
    <cellStyle name="Bom 5" xfId="189"/>
    <cellStyle name="Bom 6" xfId="190"/>
    <cellStyle name="Bom 7" xfId="191"/>
    <cellStyle name="Calculation" xfId="192"/>
    <cellStyle name="Cálculo" xfId="193"/>
    <cellStyle name="Cálculo 1" xfId="194"/>
    <cellStyle name="Cálculo 2" xfId="195"/>
    <cellStyle name="Cálculo 3" xfId="196"/>
    <cellStyle name="Cálculo 4" xfId="197"/>
    <cellStyle name="Cálculo 5" xfId="198"/>
    <cellStyle name="Cálculo 6" xfId="199"/>
    <cellStyle name="Cálculo 7" xfId="200"/>
    <cellStyle name="Célula de Verificação" xfId="201"/>
    <cellStyle name="Célula de Verificação 1" xfId="202"/>
    <cellStyle name="Célula de Verificação 2" xfId="203"/>
    <cellStyle name="Célula de Verificação 3" xfId="204"/>
    <cellStyle name="Célula de Verificação 4" xfId="205"/>
    <cellStyle name="Célula de Verificação 5" xfId="206"/>
    <cellStyle name="Célula de Verificação 6" xfId="207"/>
    <cellStyle name="Célula de Verificação 7" xfId="208"/>
    <cellStyle name="Célula Vinculada" xfId="209"/>
    <cellStyle name="Célula Vinculada 1" xfId="210"/>
    <cellStyle name="Célula Vinculada 2" xfId="211"/>
    <cellStyle name="Célula Vinculada 3" xfId="212"/>
    <cellStyle name="Célula Vinculada 4" xfId="213"/>
    <cellStyle name="Célula Vinculada 5" xfId="214"/>
    <cellStyle name="Célula Vinculada 6" xfId="215"/>
    <cellStyle name="Célula Vinculada 7" xfId="216"/>
    <cellStyle name="Check Cell" xfId="217"/>
    <cellStyle name="cotação" xfId="218"/>
    <cellStyle name="Ênfase1" xfId="219"/>
    <cellStyle name="Ênfase1 1" xfId="220"/>
    <cellStyle name="Ênfase1 2" xfId="221"/>
    <cellStyle name="Ênfase1 3" xfId="222"/>
    <cellStyle name="Ênfase1 4" xfId="223"/>
    <cellStyle name="Ênfase1 5" xfId="224"/>
    <cellStyle name="Ênfase1 6" xfId="225"/>
    <cellStyle name="Ênfase1 7" xfId="226"/>
    <cellStyle name="Ênfase2" xfId="227"/>
    <cellStyle name="Ênfase2 1" xfId="228"/>
    <cellStyle name="Ênfase2 2" xfId="229"/>
    <cellStyle name="Ênfase2 3" xfId="230"/>
    <cellStyle name="Ênfase2 4" xfId="231"/>
    <cellStyle name="Ênfase2 5" xfId="232"/>
    <cellStyle name="Ênfase2 6" xfId="233"/>
    <cellStyle name="Ênfase2 7" xfId="234"/>
    <cellStyle name="Ênfase3" xfId="235"/>
    <cellStyle name="Ênfase3 1" xfId="236"/>
    <cellStyle name="Ênfase3 2" xfId="237"/>
    <cellStyle name="Ênfase3 3" xfId="238"/>
    <cellStyle name="Ênfase3 4" xfId="239"/>
    <cellStyle name="Ênfase3 5" xfId="240"/>
    <cellStyle name="Ênfase3 6" xfId="241"/>
    <cellStyle name="Ênfase3 7" xfId="242"/>
    <cellStyle name="Ênfase4" xfId="243"/>
    <cellStyle name="Ênfase4 1" xfId="244"/>
    <cellStyle name="Ênfase4 2" xfId="245"/>
    <cellStyle name="Ênfase4 3" xfId="246"/>
    <cellStyle name="Ênfase4 4" xfId="247"/>
    <cellStyle name="Ênfase4 5" xfId="248"/>
    <cellStyle name="Ênfase4 6" xfId="249"/>
    <cellStyle name="Ênfase4 7" xfId="250"/>
    <cellStyle name="Ênfase5" xfId="251"/>
    <cellStyle name="Ênfase5 1" xfId="252"/>
    <cellStyle name="Ênfase5 2" xfId="253"/>
    <cellStyle name="Ênfase5 3" xfId="254"/>
    <cellStyle name="Ênfase5 4" xfId="255"/>
    <cellStyle name="Ênfase5 5" xfId="256"/>
    <cellStyle name="Ênfase5 6" xfId="257"/>
    <cellStyle name="Ênfase5 7" xfId="258"/>
    <cellStyle name="Ênfase6" xfId="259"/>
    <cellStyle name="Ênfase6 1" xfId="260"/>
    <cellStyle name="Ênfase6 2" xfId="261"/>
    <cellStyle name="Ênfase6 3" xfId="262"/>
    <cellStyle name="Ênfase6 4" xfId="263"/>
    <cellStyle name="Ênfase6 5" xfId="264"/>
    <cellStyle name="Ênfase6 6" xfId="265"/>
    <cellStyle name="Ênfase6 7" xfId="266"/>
    <cellStyle name="Entrada" xfId="267"/>
    <cellStyle name="Entrada 1" xfId="268"/>
    <cellStyle name="Entrada 2" xfId="269"/>
    <cellStyle name="Entrada 3" xfId="270"/>
    <cellStyle name="Entrada 4" xfId="271"/>
    <cellStyle name="Entrada 5" xfId="272"/>
    <cellStyle name="Entrada 6" xfId="273"/>
    <cellStyle name="Entrada 7" xfId="274"/>
    <cellStyle name="Excel Built-in Comma" xfId="275"/>
    <cellStyle name="Excel Built-in Normal" xfId="276"/>
    <cellStyle name="Excel Built-in Normal 2" xfId="277"/>
    <cellStyle name="Excel Built-in Normal 3" xfId="278"/>
    <cellStyle name="Explanatory Text" xfId="279"/>
    <cellStyle name="Good" xfId="280"/>
    <cellStyle name="Heading 1" xfId="281"/>
    <cellStyle name="Heading 2" xfId="282"/>
    <cellStyle name="Heading 3" xfId="283"/>
    <cellStyle name="Heading 4" xfId="284"/>
    <cellStyle name="Hiperlink 2" xfId="285"/>
    <cellStyle name="Incorreto" xfId="286"/>
    <cellStyle name="Incorreto 1" xfId="287"/>
    <cellStyle name="Incorreto 2" xfId="288"/>
    <cellStyle name="Incorreto 3" xfId="289"/>
    <cellStyle name="Incorreto 4" xfId="290"/>
    <cellStyle name="Incorreto 5" xfId="291"/>
    <cellStyle name="Incorreto 6" xfId="292"/>
    <cellStyle name="Incorreto 7" xfId="293"/>
    <cellStyle name="Input" xfId="294"/>
    <cellStyle name="Linked Cell" xfId="295"/>
    <cellStyle name="Currency" xfId="296"/>
    <cellStyle name="Currency [0]" xfId="297"/>
    <cellStyle name="Moeda 2" xfId="298"/>
    <cellStyle name="Moeda 3" xfId="299"/>
    <cellStyle name="Moeda 4" xfId="300"/>
    <cellStyle name="Moeda 5" xfId="301"/>
    <cellStyle name="Neutra" xfId="302"/>
    <cellStyle name="Neutra 1" xfId="303"/>
    <cellStyle name="Neutra 2" xfId="304"/>
    <cellStyle name="Neutra 3" xfId="305"/>
    <cellStyle name="Neutra 4" xfId="306"/>
    <cellStyle name="Neutra 5" xfId="307"/>
    <cellStyle name="Neutra 6" xfId="308"/>
    <cellStyle name="Neutra 7" xfId="309"/>
    <cellStyle name="Neutral" xfId="310"/>
    <cellStyle name="Normal 2" xfId="311"/>
    <cellStyle name="Normal 2 2" xfId="312"/>
    <cellStyle name="Normal 3" xfId="313"/>
    <cellStyle name="Normal 3 2" xfId="314"/>
    <cellStyle name="Normal 4" xfId="315"/>
    <cellStyle name="Normal 5" xfId="316"/>
    <cellStyle name="Normal 6" xfId="317"/>
    <cellStyle name="Nota" xfId="318"/>
    <cellStyle name="Nota 1" xfId="319"/>
    <cellStyle name="Nota 2" xfId="320"/>
    <cellStyle name="Nota 3" xfId="321"/>
    <cellStyle name="Nota 4" xfId="322"/>
    <cellStyle name="Nota 5" xfId="323"/>
    <cellStyle name="Nota 6" xfId="324"/>
    <cellStyle name="Nota 7" xfId="325"/>
    <cellStyle name="Note" xfId="326"/>
    <cellStyle name="Output" xfId="327"/>
    <cellStyle name="planilhas" xfId="328"/>
    <cellStyle name="Percent" xfId="329"/>
    <cellStyle name="Porcentagem 2" xfId="330"/>
    <cellStyle name="Porcentagem 2 2" xfId="331"/>
    <cellStyle name="Porcentagem 2 3" xfId="332"/>
    <cellStyle name="Porcentagem 3" xfId="333"/>
    <cellStyle name="Saída" xfId="334"/>
    <cellStyle name="Saída 1" xfId="335"/>
    <cellStyle name="Saída 2" xfId="336"/>
    <cellStyle name="Saída 3" xfId="337"/>
    <cellStyle name="Saída 4" xfId="338"/>
    <cellStyle name="Saída 5" xfId="339"/>
    <cellStyle name="Saída 6" xfId="340"/>
    <cellStyle name="Saída 7" xfId="341"/>
    <cellStyle name="Comma [0]" xfId="342"/>
    <cellStyle name="Separador de milhares 2" xfId="343"/>
    <cellStyle name="Separador de milhares 3" xfId="344"/>
    <cellStyle name="Separador de milhares 4" xfId="345"/>
    <cellStyle name="Separador de milhares 5" xfId="346"/>
    <cellStyle name="Texto de Aviso" xfId="347"/>
    <cellStyle name="Texto de Aviso 1" xfId="348"/>
    <cellStyle name="Texto de Aviso 2" xfId="349"/>
    <cellStyle name="Texto de Aviso 3" xfId="350"/>
    <cellStyle name="Texto de Aviso 4" xfId="351"/>
    <cellStyle name="Texto de Aviso 5" xfId="352"/>
    <cellStyle name="Texto de Aviso 6" xfId="353"/>
    <cellStyle name="Texto de Aviso 7" xfId="354"/>
    <cellStyle name="Texto Explicativo" xfId="355"/>
    <cellStyle name="Texto Explicativo 1" xfId="356"/>
    <cellStyle name="Texto Explicativo 2" xfId="357"/>
    <cellStyle name="Texto Explicativo 3" xfId="358"/>
    <cellStyle name="Texto Explicativo 4" xfId="359"/>
    <cellStyle name="Texto Explicativo 5" xfId="360"/>
    <cellStyle name="Texto Explicativo 6" xfId="361"/>
    <cellStyle name="Texto Explicativo 7" xfId="362"/>
    <cellStyle name="Title" xfId="363"/>
    <cellStyle name="Título" xfId="364"/>
    <cellStyle name="Título 1" xfId="365"/>
    <cellStyle name="Título 1 1" xfId="366"/>
    <cellStyle name="Título 1 1 1" xfId="367"/>
    <cellStyle name="Título 1 1_orçamento mocão_LICITAÇÃO-" xfId="368"/>
    <cellStyle name="Título 1 2" xfId="369"/>
    <cellStyle name="Título 1 3" xfId="370"/>
    <cellStyle name="Título 1 4" xfId="371"/>
    <cellStyle name="Título 1 5" xfId="372"/>
    <cellStyle name="Título 1 6" xfId="373"/>
    <cellStyle name="Título 1 7" xfId="374"/>
    <cellStyle name="Título 1 8" xfId="375"/>
    <cellStyle name="Título 10" xfId="376"/>
    <cellStyle name="Título 11" xfId="377"/>
    <cellStyle name="Título 2" xfId="378"/>
    <cellStyle name="Título 2 1" xfId="379"/>
    <cellStyle name="Título 2 2" xfId="380"/>
    <cellStyle name="Título 2 3" xfId="381"/>
    <cellStyle name="Título 2 4" xfId="382"/>
    <cellStyle name="Título 2 5" xfId="383"/>
    <cellStyle name="Título 2 6" xfId="384"/>
    <cellStyle name="Título 2 7" xfId="385"/>
    <cellStyle name="Título 3" xfId="386"/>
    <cellStyle name="Título 3 1" xfId="387"/>
    <cellStyle name="Título 3 2" xfId="388"/>
    <cellStyle name="Título 3 3" xfId="389"/>
    <cellStyle name="Título 3 4" xfId="390"/>
    <cellStyle name="Título 3 5" xfId="391"/>
    <cellStyle name="Título 3 6" xfId="392"/>
    <cellStyle name="Título 3 7" xfId="393"/>
    <cellStyle name="Título 4" xfId="394"/>
    <cellStyle name="Título 4 1" xfId="395"/>
    <cellStyle name="Título 4 2" xfId="396"/>
    <cellStyle name="Título 4 3" xfId="397"/>
    <cellStyle name="Título 4 4" xfId="398"/>
    <cellStyle name="Título 4 5" xfId="399"/>
    <cellStyle name="Título 4 6" xfId="400"/>
    <cellStyle name="Título 4 7" xfId="401"/>
    <cellStyle name="Título 5" xfId="402"/>
    <cellStyle name="Título 6" xfId="403"/>
    <cellStyle name="Título 7" xfId="404"/>
    <cellStyle name="Título 8" xfId="405"/>
    <cellStyle name="Título 9" xfId="406"/>
    <cellStyle name="Total" xfId="407"/>
    <cellStyle name="Total 1" xfId="408"/>
    <cellStyle name="Total 2" xfId="409"/>
    <cellStyle name="Total 3" xfId="410"/>
    <cellStyle name="Total 4" xfId="411"/>
    <cellStyle name="Total 5" xfId="412"/>
    <cellStyle name="Total 6" xfId="413"/>
    <cellStyle name="Total 7" xfId="414"/>
    <cellStyle name="Comma" xfId="415"/>
    <cellStyle name="Vírgula 2" xfId="416"/>
    <cellStyle name="Vírgula 2 2" xfId="417"/>
    <cellStyle name="Vírgula 2 3" xfId="418"/>
    <cellStyle name="Vírgula 3" xfId="419"/>
    <cellStyle name="Vírgula 4" xfId="420"/>
    <cellStyle name="Warning Text" xfId="4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1009650</xdr:colOff>
      <xdr:row>394</xdr:row>
      <xdr:rowOff>114300</xdr:rowOff>
    </xdr:from>
    <xdr:ext cx="0" cy="171450"/>
    <xdr:sp fLocksText="0">
      <xdr:nvSpPr>
        <xdr:cNvPr id="1" name="CaixaDeTexto 1"/>
        <xdr:cNvSpPr txBox="1">
          <a:spLocks noChangeArrowheads="1"/>
        </xdr:cNvSpPr>
      </xdr:nvSpPr>
      <xdr:spPr>
        <a:xfrm>
          <a:off x="6057900" y="69237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Arial"/>
              <a:ea typeface="Arial"/>
              <a:cs typeface="Arial"/>
            </a:rPr>
            <a:t/>
          </a:r>
        </a:p>
      </xdr:txBody>
    </xdr:sp>
    <xdr:clientData/>
  </xdr:oneCellAnchor>
  <xdr:oneCellAnchor>
    <xdr:from>
      <xdr:col>4</xdr:col>
      <xdr:colOff>1009650</xdr:colOff>
      <xdr:row>409</xdr:row>
      <xdr:rowOff>0</xdr:rowOff>
    </xdr:from>
    <xdr:ext cx="0" cy="171450"/>
    <xdr:sp fLocksText="0">
      <xdr:nvSpPr>
        <xdr:cNvPr id="2" name="CaixaDeTexto 2"/>
        <xdr:cNvSpPr txBox="1">
          <a:spLocks noChangeArrowheads="1"/>
        </xdr:cNvSpPr>
      </xdr:nvSpPr>
      <xdr:spPr>
        <a:xfrm>
          <a:off x="6057900" y="716470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Arial"/>
              <a:ea typeface="Arial"/>
              <a:cs typeface="Arial"/>
            </a:rPr>
            <a:t/>
          </a:r>
        </a:p>
      </xdr:txBody>
    </xdr:sp>
    <xdr:clientData/>
  </xdr:oneCellAnchor>
  <xdr:oneCellAnchor>
    <xdr:from>
      <xdr:col>4</xdr:col>
      <xdr:colOff>1009650</xdr:colOff>
      <xdr:row>409</xdr:row>
      <xdr:rowOff>0</xdr:rowOff>
    </xdr:from>
    <xdr:ext cx="0" cy="171450"/>
    <xdr:sp fLocksText="0">
      <xdr:nvSpPr>
        <xdr:cNvPr id="3" name="CaixaDeTexto 3"/>
        <xdr:cNvSpPr txBox="1">
          <a:spLocks noChangeArrowheads="1"/>
        </xdr:cNvSpPr>
      </xdr:nvSpPr>
      <xdr:spPr>
        <a:xfrm>
          <a:off x="6057900" y="716470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Arial"/>
              <a:ea typeface="Arial"/>
              <a:cs typeface="Arial"/>
            </a:rPr>
            <a:t/>
          </a:r>
        </a:p>
      </xdr:txBody>
    </xdr:sp>
    <xdr:clientData/>
  </xdr:oneCellAnchor>
  <xdr:oneCellAnchor>
    <xdr:from>
      <xdr:col>4</xdr:col>
      <xdr:colOff>1009650</xdr:colOff>
      <xdr:row>401</xdr:row>
      <xdr:rowOff>114300</xdr:rowOff>
    </xdr:from>
    <xdr:ext cx="0" cy="171450"/>
    <xdr:sp fLocksText="0">
      <xdr:nvSpPr>
        <xdr:cNvPr id="4" name="CaixaDeTexto 4"/>
        <xdr:cNvSpPr txBox="1">
          <a:spLocks noChangeArrowheads="1"/>
        </xdr:cNvSpPr>
      </xdr:nvSpPr>
      <xdr:spPr>
        <a:xfrm>
          <a:off x="6057900" y="704088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Arial"/>
              <a:ea typeface="Arial"/>
              <a:cs typeface="Arial"/>
            </a:rPr>
            <a:t/>
          </a:r>
        </a:p>
      </xdr:txBody>
    </xdr:sp>
    <xdr:clientData/>
  </xdr:oneCellAnchor>
  <xdr:oneCellAnchor>
    <xdr:from>
      <xdr:col>4</xdr:col>
      <xdr:colOff>1009650</xdr:colOff>
      <xdr:row>435</xdr:row>
      <xdr:rowOff>0</xdr:rowOff>
    </xdr:from>
    <xdr:ext cx="0" cy="171450"/>
    <xdr:sp fLocksText="0">
      <xdr:nvSpPr>
        <xdr:cNvPr id="5" name="CaixaDeTexto 5"/>
        <xdr:cNvSpPr txBox="1">
          <a:spLocks noChangeArrowheads="1"/>
        </xdr:cNvSpPr>
      </xdr:nvSpPr>
      <xdr:spPr>
        <a:xfrm>
          <a:off x="6057900" y="762095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Arial"/>
              <a:ea typeface="Arial"/>
              <a:cs typeface="Arial"/>
            </a:rPr>
            <a:t/>
          </a:r>
        </a:p>
      </xdr:txBody>
    </xdr:sp>
    <xdr:clientData/>
  </xdr:oneCellAnchor>
  <xdr:oneCellAnchor>
    <xdr:from>
      <xdr:col>4</xdr:col>
      <xdr:colOff>1009650</xdr:colOff>
      <xdr:row>435</xdr:row>
      <xdr:rowOff>0</xdr:rowOff>
    </xdr:from>
    <xdr:ext cx="0" cy="171450"/>
    <xdr:sp fLocksText="0">
      <xdr:nvSpPr>
        <xdr:cNvPr id="6" name="CaixaDeTexto 6"/>
        <xdr:cNvSpPr txBox="1">
          <a:spLocks noChangeArrowheads="1"/>
        </xdr:cNvSpPr>
      </xdr:nvSpPr>
      <xdr:spPr>
        <a:xfrm>
          <a:off x="6057900" y="762095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Arial"/>
              <a:ea typeface="Arial"/>
              <a:cs typeface="Arial"/>
            </a:rPr>
            <a:t/>
          </a:r>
        </a:p>
      </xdr:txBody>
    </xdr:sp>
    <xdr:clientData/>
  </xdr:oneCellAnchor>
  <xdr:oneCellAnchor>
    <xdr:from>
      <xdr:col>4</xdr:col>
      <xdr:colOff>1009650</xdr:colOff>
      <xdr:row>394</xdr:row>
      <xdr:rowOff>114300</xdr:rowOff>
    </xdr:from>
    <xdr:ext cx="0" cy="171450"/>
    <xdr:sp fLocksText="0">
      <xdr:nvSpPr>
        <xdr:cNvPr id="7" name="CaixaDeTexto 8"/>
        <xdr:cNvSpPr txBox="1">
          <a:spLocks noChangeArrowheads="1"/>
        </xdr:cNvSpPr>
      </xdr:nvSpPr>
      <xdr:spPr>
        <a:xfrm>
          <a:off x="6057900" y="69237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66675</xdr:rowOff>
    </xdr:from>
    <xdr:to>
      <xdr:col>7</xdr:col>
      <xdr:colOff>752475</xdr:colOff>
      <xdr:row>0</xdr:row>
      <xdr:rowOff>704850</xdr:rowOff>
    </xdr:to>
    <xdr:sp>
      <xdr:nvSpPr>
        <xdr:cNvPr id="1" name="Text Box 6"/>
        <xdr:cNvSpPr txBox="1">
          <a:spLocks noChangeArrowheads="1"/>
        </xdr:cNvSpPr>
      </xdr:nvSpPr>
      <xdr:spPr>
        <a:xfrm>
          <a:off x="209550" y="66675"/>
          <a:ext cx="7934325" cy="638175"/>
        </a:xfrm>
        <a:prstGeom prst="rect">
          <a:avLst/>
        </a:prstGeom>
        <a:noFill/>
        <a:ln w="9525" cmpd="sng">
          <a:noFill/>
        </a:ln>
      </xdr:spPr>
      <xdr:txBody>
        <a:bodyPr vertOverflow="clip" wrap="square" lIns="27432" tIns="22860" rIns="0" bIns="0"/>
        <a:p>
          <a:pPr algn="l">
            <a:defRPr/>
          </a:pPr>
          <a:r>
            <a:rPr lang="en-US" cap="none" sz="1200" b="1" i="0" u="sng" baseline="0">
              <a:solidFill>
                <a:srgbClr val="000000"/>
              </a:solidFill>
              <a:latin typeface="Times New Roman"/>
              <a:ea typeface="Times New Roman"/>
              <a:cs typeface="Times New Roman"/>
            </a:rPr>
            <a:t>PREFEITURA MUNICIPAL DE CORAÇÃO DE JESUS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ESTADO DE MINAS GERAIS
</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137</xdr:row>
      <xdr:rowOff>152400</xdr:rowOff>
    </xdr:from>
    <xdr:to>
      <xdr:col>8</xdr:col>
      <xdr:colOff>0</xdr:colOff>
      <xdr:row>141</xdr:row>
      <xdr:rowOff>57150</xdr:rowOff>
    </xdr:to>
    <xdr:sp>
      <xdr:nvSpPr>
        <xdr:cNvPr id="2" name="Text Box 7"/>
        <xdr:cNvSpPr txBox="1">
          <a:spLocks noChangeArrowheads="1"/>
        </xdr:cNvSpPr>
      </xdr:nvSpPr>
      <xdr:spPr>
        <a:xfrm flipV="1">
          <a:off x="47625" y="47415450"/>
          <a:ext cx="8162925" cy="45720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 </a:t>
          </a:r>
        </a:p>
      </xdr:txBody>
    </xdr:sp>
    <xdr:clientData/>
  </xdr:twoCellAnchor>
  <xdr:twoCellAnchor>
    <xdr:from>
      <xdr:col>0</xdr:col>
      <xdr:colOff>66675</xdr:colOff>
      <xdr:row>0</xdr:row>
      <xdr:rowOff>28575</xdr:rowOff>
    </xdr:from>
    <xdr:to>
      <xdr:col>1</xdr:col>
      <xdr:colOff>428625</xdr:colOff>
      <xdr:row>0</xdr:row>
      <xdr:rowOff>866775</xdr:rowOff>
    </xdr:to>
    <xdr:sp>
      <xdr:nvSpPr>
        <xdr:cNvPr id="3" name="Object 1" hidden="1"/>
        <xdr:cNvSpPr>
          <a:spLocks/>
        </xdr:cNvSpPr>
      </xdr:nvSpPr>
      <xdr:spPr>
        <a:xfrm>
          <a:off x="66675" y="28575"/>
          <a:ext cx="723900" cy="838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0</xdr:row>
      <xdr:rowOff>47625</xdr:rowOff>
    </xdr:from>
    <xdr:to>
      <xdr:col>2</xdr:col>
      <xdr:colOff>133350</xdr:colOff>
      <xdr:row>1</xdr:row>
      <xdr:rowOff>0</xdr:rowOff>
    </xdr:to>
    <xdr:pic>
      <xdr:nvPicPr>
        <xdr:cNvPr id="4" name="Picture 1"/>
        <xdr:cNvPicPr preferRelativeResize="1">
          <a:picLocks noChangeAspect="1"/>
        </xdr:cNvPicPr>
      </xdr:nvPicPr>
      <xdr:blipFill>
        <a:blip r:embed="rId1"/>
        <a:stretch>
          <a:fillRect/>
        </a:stretch>
      </xdr:blipFill>
      <xdr:spPr>
        <a:xfrm>
          <a:off x="476250" y="47625"/>
          <a:ext cx="73342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933450</xdr:colOff>
      <xdr:row>0</xdr:row>
      <xdr:rowOff>28575</xdr:rowOff>
    </xdr:from>
    <xdr:to>
      <xdr:col>9</xdr:col>
      <xdr:colOff>438150</xdr:colOff>
      <xdr:row>0</xdr:row>
      <xdr:rowOff>809625</xdr:rowOff>
    </xdr:to>
    <xdr:sp>
      <xdr:nvSpPr>
        <xdr:cNvPr id="1" name="Text Box 6"/>
        <xdr:cNvSpPr txBox="1">
          <a:spLocks noChangeArrowheads="1"/>
        </xdr:cNvSpPr>
      </xdr:nvSpPr>
      <xdr:spPr>
        <a:xfrm>
          <a:off x="1638300" y="28575"/>
          <a:ext cx="8791575" cy="771525"/>
        </a:xfrm>
        <a:prstGeom prst="rect">
          <a:avLst/>
        </a:prstGeom>
        <a:noFill/>
        <a:ln w="9525" cmpd="sng">
          <a:noFill/>
        </a:ln>
      </xdr:spPr>
      <xdr:txBody>
        <a:bodyPr vertOverflow="clip" wrap="square" lIns="27432" tIns="22860" rIns="0" bIns="0"/>
        <a:p>
          <a:pPr algn="l">
            <a:defRPr/>
          </a:pPr>
          <a:r>
            <a:rPr lang="en-US" cap="none" sz="1400" b="1" i="0" u="sng" baseline="0">
              <a:solidFill>
                <a:srgbClr val="000000"/>
              </a:solidFill>
              <a:latin typeface="Times New Roman"/>
              <a:ea typeface="Times New Roman"/>
              <a:cs typeface="Times New Roman"/>
            </a:rPr>
            <a:t>PREFEITURA MUNICIPAL DE CORAÇÃO DE JESUS</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ESTADO DE MINAS GERAIS
</a:t>
          </a:r>
          <a:r>
            <a:rPr lang="en-US" cap="none" sz="1100" b="0" i="0" u="none" baseline="0">
              <a:solidFill>
                <a:srgbClr val="000000"/>
              </a:solidFill>
              <a:latin typeface="Calibri"/>
              <a:ea typeface="Calibri"/>
              <a:cs typeface="Calibri"/>
            </a:rPr>
            <a:t> </a:t>
          </a:r>
        </a:p>
      </xdr:txBody>
    </xdr:sp>
    <xdr:clientData/>
  </xdr:twoCellAnchor>
  <xdr:twoCellAnchor>
    <xdr:from>
      <xdr:col>0</xdr:col>
      <xdr:colOff>257175</xdr:colOff>
      <xdr:row>0</xdr:row>
      <xdr:rowOff>76200</xdr:rowOff>
    </xdr:from>
    <xdr:to>
      <xdr:col>1</xdr:col>
      <xdr:colOff>333375</xdr:colOff>
      <xdr:row>0</xdr:row>
      <xdr:rowOff>828675</xdr:rowOff>
    </xdr:to>
    <xdr:sp>
      <xdr:nvSpPr>
        <xdr:cNvPr id="2" name="Object 1" hidden="1"/>
        <xdr:cNvSpPr>
          <a:spLocks/>
        </xdr:cNvSpPr>
      </xdr:nvSpPr>
      <xdr:spPr>
        <a:xfrm>
          <a:off x="257175" y="76200"/>
          <a:ext cx="78105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0</xdr:row>
      <xdr:rowOff>76200</xdr:rowOff>
    </xdr:from>
    <xdr:to>
      <xdr:col>1</xdr:col>
      <xdr:colOff>333375</xdr:colOff>
      <xdr:row>0</xdr:row>
      <xdr:rowOff>828675</xdr:rowOff>
    </xdr:to>
    <xdr:pic>
      <xdr:nvPicPr>
        <xdr:cNvPr id="3" name="Picture 1"/>
        <xdr:cNvPicPr preferRelativeResize="1">
          <a:picLocks noChangeAspect="1"/>
        </xdr:cNvPicPr>
      </xdr:nvPicPr>
      <xdr:blipFill>
        <a:blip r:embed="rId1"/>
        <a:stretch>
          <a:fillRect/>
        </a:stretch>
      </xdr:blipFill>
      <xdr:spPr>
        <a:xfrm>
          <a:off x="257175" y="76200"/>
          <a:ext cx="78105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485775</xdr:colOff>
      <xdr:row>22</xdr:row>
      <xdr:rowOff>76200</xdr:rowOff>
    </xdr:from>
    <xdr:to>
      <xdr:col>6</xdr:col>
      <xdr:colOff>714375</xdr:colOff>
      <xdr:row>25</xdr:row>
      <xdr:rowOff>95250</xdr:rowOff>
    </xdr:to>
    <xdr:pic>
      <xdr:nvPicPr>
        <xdr:cNvPr id="1" name="volta_bt"/>
        <xdr:cNvPicPr preferRelativeResize="1">
          <a:picLocks noChangeAspect="1"/>
        </xdr:cNvPicPr>
      </xdr:nvPicPr>
      <xdr:blipFill>
        <a:blip r:embed="rId1"/>
        <a:stretch>
          <a:fillRect/>
        </a:stretch>
      </xdr:blipFill>
      <xdr:spPr>
        <a:xfrm>
          <a:off x="5934075" y="3467100"/>
          <a:ext cx="107632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6</xdr:col>
      <xdr:colOff>752475</xdr:colOff>
      <xdr:row>0</xdr:row>
      <xdr:rowOff>704850</xdr:rowOff>
    </xdr:to>
    <xdr:sp>
      <xdr:nvSpPr>
        <xdr:cNvPr id="1" name="Text Box 6"/>
        <xdr:cNvSpPr txBox="1">
          <a:spLocks noChangeArrowheads="1"/>
        </xdr:cNvSpPr>
      </xdr:nvSpPr>
      <xdr:spPr>
        <a:xfrm>
          <a:off x="85725" y="66675"/>
          <a:ext cx="7239000" cy="638175"/>
        </a:xfrm>
        <a:prstGeom prst="rect">
          <a:avLst/>
        </a:prstGeom>
        <a:noFill/>
        <a:ln w="9525" cmpd="sng">
          <a:noFill/>
        </a:ln>
      </xdr:spPr>
      <xdr:txBody>
        <a:bodyPr vertOverflow="clip" wrap="square" lIns="27432" tIns="22860" rIns="0" bIns="0"/>
        <a:p>
          <a:pPr algn="l">
            <a:defRPr/>
          </a:pPr>
          <a:r>
            <a:rPr lang="en-US" cap="none" sz="1200" b="1" i="0" u="sng" baseline="0">
              <a:solidFill>
                <a:srgbClr val="000000"/>
              </a:solidFill>
              <a:latin typeface="Times New Roman"/>
              <a:ea typeface="Times New Roman"/>
              <a:cs typeface="Times New Roman"/>
            </a:rPr>
            <a:t>PREFEITURA MUNICIPAL DE CORAÇÃO DE JESUS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ESTADO DE MINAS GERAIS
</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26</xdr:row>
      <xdr:rowOff>152400</xdr:rowOff>
    </xdr:from>
    <xdr:to>
      <xdr:col>7</xdr:col>
      <xdr:colOff>0</xdr:colOff>
      <xdr:row>30</xdr:row>
      <xdr:rowOff>57150</xdr:rowOff>
    </xdr:to>
    <xdr:sp>
      <xdr:nvSpPr>
        <xdr:cNvPr id="2" name="Text Box 7"/>
        <xdr:cNvSpPr txBox="1">
          <a:spLocks noChangeArrowheads="1"/>
        </xdr:cNvSpPr>
      </xdr:nvSpPr>
      <xdr:spPr>
        <a:xfrm flipV="1">
          <a:off x="47625" y="5791200"/>
          <a:ext cx="7343775" cy="45720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 </a:t>
          </a:r>
        </a:p>
      </xdr:txBody>
    </xdr:sp>
    <xdr:clientData/>
  </xdr:twoCellAnchor>
  <xdr:twoCellAnchor>
    <xdr:from>
      <xdr:col>0</xdr:col>
      <xdr:colOff>66675</xdr:colOff>
      <xdr:row>0</xdr:row>
      <xdr:rowOff>28575</xdr:rowOff>
    </xdr:from>
    <xdr:to>
      <xdr:col>1</xdr:col>
      <xdr:colOff>428625</xdr:colOff>
      <xdr:row>0</xdr:row>
      <xdr:rowOff>866775</xdr:rowOff>
    </xdr:to>
    <xdr:sp>
      <xdr:nvSpPr>
        <xdr:cNvPr id="3" name="Object 1" hidden="1"/>
        <xdr:cNvSpPr>
          <a:spLocks/>
        </xdr:cNvSpPr>
      </xdr:nvSpPr>
      <xdr:spPr>
        <a:xfrm>
          <a:off x="66675" y="28575"/>
          <a:ext cx="723900" cy="838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28575</xdr:rowOff>
    </xdr:from>
    <xdr:to>
      <xdr:col>1</xdr:col>
      <xdr:colOff>428625</xdr:colOff>
      <xdr:row>0</xdr:row>
      <xdr:rowOff>866775</xdr:rowOff>
    </xdr:to>
    <xdr:pic>
      <xdr:nvPicPr>
        <xdr:cNvPr id="4" name="Picture 1"/>
        <xdr:cNvPicPr preferRelativeResize="1">
          <a:picLocks noChangeAspect="1"/>
        </xdr:cNvPicPr>
      </xdr:nvPicPr>
      <xdr:blipFill>
        <a:blip r:embed="rId1"/>
        <a:stretch>
          <a:fillRect/>
        </a:stretch>
      </xdr:blipFill>
      <xdr:spPr>
        <a:xfrm>
          <a:off x="66675" y="28575"/>
          <a:ext cx="723900" cy="83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6</xdr:col>
      <xdr:colOff>752475</xdr:colOff>
      <xdr:row>0</xdr:row>
      <xdr:rowOff>704850</xdr:rowOff>
    </xdr:to>
    <xdr:sp>
      <xdr:nvSpPr>
        <xdr:cNvPr id="1" name="Text Box 6"/>
        <xdr:cNvSpPr txBox="1">
          <a:spLocks noChangeArrowheads="1"/>
        </xdr:cNvSpPr>
      </xdr:nvSpPr>
      <xdr:spPr>
        <a:xfrm>
          <a:off x="85725" y="66675"/>
          <a:ext cx="7239000" cy="638175"/>
        </a:xfrm>
        <a:prstGeom prst="rect">
          <a:avLst/>
        </a:prstGeom>
        <a:noFill/>
        <a:ln w="9525" cmpd="sng">
          <a:noFill/>
        </a:ln>
      </xdr:spPr>
      <xdr:txBody>
        <a:bodyPr vertOverflow="clip" wrap="square" lIns="27432" tIns="22860" rIns="0" bIns="0"/>
        <a:p>
          <a:pPr algn="l">
            <a:defRPr/>
          </a:pPr>
          <a:r>
            <a:rPr lang="en-US" cap="none" sz="1200" b="1" i="0" u="sng" baseline="0">
              <a:solidFill>
                <a:srgbClr val="000000"/>
              </a:solidFill>
              <a:latin typeface="Times New Roman"/>
              <a:ea typeface="Times New Roman"/>
              <a:cs typeface="Times New Roman"/>
            </a:rPr>
            <a:t>PREFEITURA MUNICIPAL DE CORAÇÃO DE JESUS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ESTADO DE MINAS GERAIS
</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26</xdr:row>
      <xdr:rowOff>152400</xdr:rowOff>
    </xdr:from>
    <xdr:to>
      <xdr:col>7</xdr:col>
      <xdr:colOff>0</xdr:colOff>
      <xdr:row>30</xdr:row>
      <xdr:rowOff>57150</xdr:rowOff>
    </xdr:to>
    <xdr:sp>
      <xdr:nvSpPr>
        <xdr:cNvPr id="2" name="Text Box 7"/>
        <xdr:cNvSpPr txBox="1">
          <a:spLocks noChangeArrowheads="1"/>
        </xdr:cNvSpPr>
      </xdr:nvSpPr>
      <xdr:spPr>
        <a:xfrm flipV="1">
          <a:off x="47625" y="5705475"/>
          <a:ext cx="7343775" cy="45720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 </a:t>
          </a:r>
        </a:p>
      </xdr:txBody>
    </xdr:sp>
    <xdr:clientData/>
  </xdr:twoCellAnchor>
  <xdr:twoCellAnchor>
    <xdr:from>
      <xdr:col>0</xdr:col>
      <xdr:colOff>66675</xdr:colOff>
      <xdr:row>0</xdr:row>
      <xdr:rowOff>28575</xdr:rowOff>
    </xdr:from>
    <xdr:to>
      <xdr:col>1</xdr:col>
      <xdr:colOff>428625</xdr:colOff>
      <xdr:row>0</xdr:row>
      <xdr:rowOff>866775</xdr:rowOff>
    </xdr:to>
    <xdr:sp>
      <xdr:nvSpPr>
        <xdr:cNvPr id="3" name="Object 1" hidden="1"/>
        <xdr:cNvSpPr>
          <a:spLocks/>
        </xdr:cNvSpPr>
      </xdr:nvSpPr>
      <xdr:spPr>
        <a:xfrm>
          <a:off x="66675" y="28575"/>
          <a:ext cx="723900" cy="838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28575</xdr:rowOff>
    </xdr:from>
    <xdr:to>
      <xdr:col>1</xdr:col>
      <xdr:colOff>428625</xdr:colOff>
      <xdr:row>0</xdr:row>
      <xdr:rowOff>866775</xdr:rowOff>
    </xdr:to>
    <xdr:pic>
      <xdr:nvPicPr>
        <xdr:cNvPr id="4" name="Picture 1"/>
        <xdr:cNvPicPr preferRelativeResize="1">
          <a:picLocks noChangeAspect="1"/>
        </xdr:cNvPicPr>
      </xdr:nvPicPr>
      <xdr:blipFill>
        <a:blip r:embed="rId1"/>
        <a:stretch>
          <a:fillRect/>
        </a:stretch>
      </xdr:blipFill>
      <xdr:spPr>
        <a:xfrm>
          <a:off x="66675" y="28575"/>
          <a:ext cx="723900"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Kiara\SESP\PLANILHA%20OR&#199;%20SES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sição BDI"/>
      <sheetName val="Planilha Orcamentária"/>
      <sheetName val="O Q foi PAGO"/>
      <sheetName val="Planilha"/>
      <sheetName val="Cronograma Físico-Financeiro"/>
      <sheetName val="O Q foi PAGO (2)"/>
      <sheetName val="Plan1"/>
    </sheetNames>
    <sheetDataSet>
      <sheetData sheetId="3">
        <row r="11">
          <cell r="C11" t="str">
            <v>SERVIÇOS PRELIMINARES</v>
          </cell>
        </row>
        <row r="29">
          <cell r="C29" t="str">
            <v>ALVENARIAS</v>
          </cell>
        </row>
        <row r="36">
          <cell r="C36" t="str">
            <v>ESQUADRIAS</v>
          </cell>
        </row>
        <row r="42">
          <cell r="C42" t="str">
            <v>COBERTURA</v>
          </cell>
        </row>
        <row r="49">
          <cell r="C49" t="str">
            <v>REVESTIMENTOS </v>
          </cell>
        </row>
        <row r="55">
          <cell r="C55" t="str">
            <v>PISO</v>
          </cell>
        </row>
        <row r="59">
          <cell r="C59" t="str">
            <v>PINTURA</v>
          </cell>
        </row>
        <row r="69">
          <cell r="C69" t="str">
            <v>INSTALAÇÕES HIDROSSANITÁRIAS</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1196"/>
  <sheetViews>
    <sheetView zoomScale="82" zoomScaleNormal="82" zoomScalePageLayoutView="0" workbookViewId="0" topLeftCell="A836">
      <selection activeCell="L835" sqref="L835"/>
    </sheetView>
  </sheetViews>
  <sheetFormatPr defaultColWidth="9.140625" defaultRowHeight="12.75"/>
  <cols>
    <col min="1" max="1" width="9.140625" style="0" customWidth="1"/>
    <col min="2" max="2" width="31.421875" style="0" customWidth="1"/>
    <col min="3" max="3" width="16.421875" style="0" customWidth="1"/>
    <col min="4" max="4" width="18.7109375" style="0" bestFit="1" customWidth="1"/>
    <col min="5" max="5" width="22.7109375" style="0" customWidth="1"/>
    <col min="6" max="6" width="17.00390625" style="0" bestFit="1" customWidth="1"/>
    <col min="7" max="7" width="13.57421875" style="0" customWidth="1"/>
    <col min="8" max="8" width="9.140625" style="0" customWidth="1"/>
    <col min="10" max="10" width="10.00390625" style="0" bestFit="1" customWidth="1"/>
  </cols>
  <sheetData>
    <row r="1" spans="1:7" ht="13.5" thickBot="1">
      <c r="A1" s="29"/>
      <c r="B1" s="30"/>
      <c r="C1" s="30"/>
      <c r="D1" s="30"/>
      <c r="E1" s="31"/>
      <c r="F1" s="30"/>
      <c r="G1" s="32"/>
    </row>
    <row r="2" spans="1:7" ht="13.5" thickBot="1">
      <c r="A2" s="564" t="s">
        <v>59</v>
      </c>
      <c r="B2" s="565"/>
      <c r="C2" s="565"/>
      <c r="D2" s="565"/>
      <c r="E2" s="565"/>
      <c r="F2" s="565"/>
      <c r="G2" s="566"/>
    </row>
    <row r="3" spans="1:7" ht="13.5" thickBot="1">
      <c r="A3" s="33"/>
      <c r="B3" s="34"/>
      <c r="C3" s="34"/>
      <c r="D3" s="34"/>
      <c r="E3" s="45"/>
      <c r="F3" s="34"/>
      <c r="G3" s="35"/>
    </row>
    <row r="4" spans="1:7" ht="18" customHeight="1" thickBot="1">
      <c r="A4" s="79" t="s">
        <v>396</v>
      </c>
      <c r="B4" s="585" t="s">
        <v>1</v>
      </c>
      <c r="C4" s="586"/>
      <c r="D4" s="586"/>
      <c r="E4" s="586"/>
      <c r="F4" s="586"/>
      <c r="G4" s="587"/>
    </row>
    <row r="5" spans="1:7" ht="13.5" thickBot="1">
      <c r="A5" s="33"/>
      <c r="B5" s="34"/>
      <c r="C5" s="34"/>
      <c r="D5" s="34"/>
      <c r="E5" s="45"/>
      <c r="F5" s="34"/>
      <c r="G5" s="35"/>
    </row>
    <row r="6" spans="1:7" ht="30" customHeight="1" thickBot="1">
      <c r="A6" s="80" t="s">
        <v>395</v>
      </c>
      <c r="B6" s="570" t="str">
        <f>Planilha!C16</f>
        <v>LIMPEZA DE TERRENO, INCLUSIVE CAPINA, RASTELAMENTO COM AFASTAMENTO ATÉ VINTE (20) METROS E QUEIMA CONTROLADA</v>
      </c>
      <c r="C6" s="571"/>
      <c r="D6" s="571"/>
      <c r="E6" s="572"/>
      <c r="F6" s="81">
        <f>E10</f>
        <v>59.66</v>
      </c>
      <c r="G6" s="80" t="s">
        <v>107</v>
      </c>
    </row>
    <row r="7" spans="1:7" ht="12.75">
      <c r="A7" s="33"/>
      <c r="B7" s="34"/>
      <c r="C7" s="34"/>
      <c r="D7" s="34"/>
      <c r="E7" s="45"/>
      <c r="F7" s="34"/>
      <c r="G7" s="35"/>
    </row>
    <row r="8" spans="1:7" ht="12.75">
      <c r="A8" s="33"/>
      <c r="B8" s="114" t="s">
        <v>20</v>
      </c>
      <c r="C8" s="114" t="s">
        <v>21</v>
      </c>
      <c r="D8" s="114" t="s">
        <v>26</v>
      </c>
      <c r="E8" s="114" t="s">
        <v>23</v>
      </c>
      <c r="F8" s="34"/>
      <c r="G8" s="35"/>
    </row>
    <row r="9" spans="1:7" ht="13.5" thickBot="1">
      <c r="A9" s="33"/>
      <c r="B9" s="369" t="s">
        <v>397</v>
      </c>
      <c r="C9" s="370">
        <v>6.15</v>
      </c>
      <c r="D9" s="370">
        <v>9.7</v>
      </c>
      <c r="E9" s="371">
        <f>C9*D9</f>
        <v>59.66</v>
      </c>
      <c r="F9" s="34"/>
      <c r="G9" s="35"/>
    </row>
    <row r="10" spans="1:7" ht="13.5" thickBot="1">
      <c r="A10" s="33"/>
      <c r="B10" s="34"/>
      <c r="C10" s="34"/>
      <c r="D10" s="78" t="s">
        <v>2</v>
      </c>
      <c r="E10" s="287">
        <f>SUM(E9:E9)</f>
        <v>59.66</v>
      </c>
      <c r="F10" s="34"/>
      <c r="G10" s="35"/>
    </row>
    <row r="11" spans="1:7" ht="13.5" thickBot="1">
      <c r="A11" s="33"/>
      <c r="B11" s="34"/>
      <c r="C11" s="34"/>
      <c r="D11" s="481"/>
      <c r="E11" s="37"/>
      <c r="F11" s="34"/>
      <c r="G11" s="35"/>
    </row>
    <row r="12" spans="1:7" ht="41.25" customHeight="1" thickBot="1">
      <c r="A12" s="80" t="s">
        <v>399</v>
      </c>
      <c r="B12" s="570" t="str">
        <f>Planilha!C17</f>
        <v>LOCAÇÃO DE OBRA COM GABARITO DE TÁBUAS CORRIDAS PONTALETADAS A CADA 2,00M, REAPROVEITAMENTO (2X), INCLUSIVE ACOMPANHAMENTO DE EQUIPE TOPOGRÁFICA PARA MARCAÇÃO DE PONTO TOPOGRÁFICO</v>
      </c>
      <c r="C12" s="571"/>
      <c r="D12" s="571"/>
      <c r="E12" s="572"/>
      <c r="F12" s="81">
        <f>E16</f>
        <v>20.5</v>
      </c>
      <c r="G12" s="80" t="s">
        <v>25</v>
      </c>
    </row>
    <row r="13" spans="1:7" ht="12.75">
      <c r="A13" s="33"/>
      <c r="B13" s="34"/>
      <c r="C13" s="34"/>
      <c r="D13" s="34"/>
      <c r="E13" s="45"/>
      <c r="F13" s="34"/>
      <c r="G13" s="35"/>
    </row>
    <row r="14" spans="1:7" ht="12.75">
      <c r="A14" s="33"/>
      <c r="B14" s="114" t="s">
        <v>20</v>
      </c>
      <c r="C14" s="114" t="s">
        <v>21</v>
      </c>
      <c r="D14" s="114" t="s">
        <v>26</v>
      </c>
      <c r="E14" s="114" t="s">
        <v>400</v>
      </c>
      <c r="F14" s="34"/>
      <c r="G14" s="35"/>
    </row>
    <row r="15" spans="1:7" ht="13.5" thickBot="1">
      <c r="A15" s="33"/>
      <c r="B15" s="369" t="s">
        <v>397</v>
      </c>
      <c r="C15" s="370">
        <v>5.65</v>
      </c>
      <c r="D15" s="370">
        <v>9.2</v>
      </c>
      <c r="E15" s="371">
        <f>C15*2+D15</f>
        <v>20.5</v>
      </c>
      <c r="F15" s="34"/>
      <c r="G15" s="35"/>
    </row>
    <row r="16" spans="1:7" ht="13.5" thickBot="1">
      <c r="A16" s="33"/>
      <c r="B16" s="34"/>
      <c r="C16" s="34"/>
      <c r="D16" s="78" t="s">
        <v>2</v>
      </c>
      <c r="E16" s="212">
        <f>SUM(E15:E15)</f>
        <v>20.5</v>
      </c>
      <c r="F16" s="34"/>
      <c r="G16" s="35"/>
    </row>
    <row r="17" spans="1:7" ht="13.5" thickBot="1">
      <c r="A17" s="79">
        <v>3</v>
      </c>
      <c r="B17" s="567" t="s">
        <v>187</v>
      </c>
      <c r="C17" s="568"/>
      <c r="D17" s="568"/>
      <c r="E17" s="568"/>
      <c r="F17" s="568"/>
      <c r="G17" s="569"/>
    </row>
    <row r="18" spans="1:7" ht="13.5" thickBot="1">
      <c r="A18" s="364"/>
      <c r="B18" s="365"/>
      <c r="C18" s="366"/>
      <c r="D18" s="366"/>
      <c r="E18" s="366"/>
      <c r="F18" s="366"/>
      <c r="G18" s="367"/>
    </row>
    <row r="19" spans="1:7" ht="13.5" thickBot="1">
      <c r="A19" s="80" t="s">
        <v>47</v>
      </c>
      <c r="B19" s="570" t="str">
        <f>Planilha!C19</f>
        <v>DEMOLIÇÃO MANUAL DE PISO CIMENTADO OU CONTRAPISO DE ARGAMASSA, COM ESPESSURA MÁXIMA DE 10CM, INCLUSIVE AFASTAMENTO E EMPILHAMENTO, EXCLUSIVE TRANSPORTE E RETIRADA DO MATERIAL DEMOLIDO.</v>
      </c>
      <c r="C19" s="571"/>
      <c r="D19" s="571"/>
      <c r="E19" s="572"/>
      <c r="F19" s="81">
        <f>E23</f>
        <v>3</v>
      </c>
      <c r="G19" s="80" t="s">
        <v>108</v>
      </c>
    </row>
    <row r="20" spans="1:7" ht="12.75">
      <c r="A20" s="54"/>
      <c r="B20" s="52"/>
      <c r="C20" s="52"/>
      <c r="D20" s="52"/>
      <c r="E20" s="52"/>
      <c r="F20" s="52"/>
      <c r="G20" s="55"/>
    </row>
    <row r="21" spans="1:7" ht="12.75">
      <c r="A21" s="54"/>
      <c r="B21" s="114" t="s">
        <v>20</v>
      </c>
      <c r="C21" s="114" t="s">
        <v>21</v>
      </c>
      <c r="D21" s="114" t="s">
        <v>26</v>
      </c>
      <c r="E21" s="114" t="s">
        <v>246</v>
      </c>
      <c r="F21" s="52"/>
      <c r="G21" s="55"/>
    </row>
    <row r="22" spans="1:7" ht="13.5" thickBot="1">
      <c r="A22" s="54"/>
      <c r="B22" s="369" t="s">
        <v>251</v>
      </c>
      <c r="C22" s="370">
        <v>1.2</v>
      </c>
      <c r="D22" s="370">
        <v>2.5</v>
      </c>
      <c r="E22" s="371">
        <f>C22*D22</f>
        <v>3</v>
      </c>
      <c r="F22" s="52"/>
      <c r="G22" s="55"/>
    </row>
    <row r="23" spans="1:7" ht="13.5" thickBot="1">
      <c r="A23" s="54"/>
      <c r="B23" s="34"/>
      <c r="C23" s="34"/>
      <c r="D23" s="78" t="s">
        <v>2</v>
      </c>
      <c r="E23" s="212">
        <f>SUM(E22:E22)</f>
        <v>3</v>
      </c>
      <c r="F23" s="52"/>
      <c r="G23" s="55"/>
    </row>
    <row r="24" spans="1:8" ht="13.5" thickBot="1">
      <c r="A24" s="54"/>
      <c r="B24" s="52"/>
      <c r="C24" s="52"/>
      <c r="D24" s="52"/>
      <c r="E24" s="52"/>
      <c r="F24" s="52"/>
      <c r="G24" s="55"/>
      <c r="H24" s="368"/>
    </row>
    <row r="25" spans="1:7" ht="44.25" customHeight="1" thickBot="1">
      <c r="A25" s="80" t="s">
        <v>71</v>
      </c>
      <c r="B25" s="570" t="str">
        <f>Planilha!C20</f>
        <v>DEMOLIÇÃO DE PILARES E VIGAS EM CONCRETO ARMADO, DE FORMA MANUAL, SEM REAPROVEITAMENTO. AF_12/2017</v>
      </c>
      <c r="C25" s="571"/>
      <c r="D25" s="571"/>
      <c r="E25" s="572"/>
      <c r="F25" s="81">
        <f>F29</f>
        <v>0.19</v>
      </c>
      <c r="G25" s="80" t="s">
        <v>108</v>
      </c>
    </row>
    <row r="26" spans="1:7" ht="12.75">
      <c r="A26" s="54"/>
      <c r="B26" s="52"/>
      <c r="C26" s="52"/>
      <c r="D26" s="52"/>
      <c r="E26" s="52"/>
      <c r="F26" s="52"/>
      <c r="G26" s="55"/>
    </row>
    <row r="27" spans="1:7" ht="12.75">
      <c r="A27" s="54"/>
      <c r="B27" s="114" t="s">
        <v>20</v>
      </c>
      <c r="C27" s="114" t="s">
        <v>534</v>
      </c>
      <c r="D27" s="114" t="s">
        <v>471</v>
      </c>
      <c r="E27" s="221" t="s">
        <v>599</v>
      </c>
      <c r="F27" s="114" t="s">
        <v>533</v>
      </c>
      <c r="G27" s="55"/>
    </row>
    <row r="28" spans="1:7" ht="13.5" thickBot="1">
      <c r="A28" s="54"/>
      <c r="B28" s="369" t="s">
        <v>251</v>
      </c>
      <c r="C28" s="370">
        <v>0.2</v>
      </c>
      <c r="D28" s="370">
        <v>3</v>
      </c>
      <c r="E28" s="405">
        <v>2</v>
      </c>
      <c r="F28" s="238">
        <f>((0.1*0.1)*3.14*D28)*E28</f>
        <v>0.19</v>
      </c>
      <c r="G28" s="55"/>
    </row>
    <row r="29" spans="1:7" ht="13.5" thickBot="1">
      <c r="A29" s="54"/>
      <c r="B29" s="34"/>
      <c r="C29" s="34"/>
      <c r="D29" s="52"/>
      <c r="E29" s="78" t="s">
        <v>2</v>
      </c>
      <c r="F29" s="212">
        <f>SUM(F28:F28)</f>
        <v>0.19</v>
      </c>
      <c r="G29" s="55"/>
    </row>
    <row r="30" spans="1:7" ht="13.5" thickBot="1">
      <c r="A30" s="54"/>
      <c r="B30" s="52"/>
      <c r="C30" s="52"/>
      <c r="D30" s="52"/>
      <c r="E30" s="52"/>
      <c r="F30" s="52"/>
      <c r="G30" s="55"/>
    </row>
    <row r="31" spans="1:7" ht="31.5" customHeight="1" thickBot="1">
      <c r="A31" s="80" t="s">
        <v>48</v>
      </c>
      <c r="B31" s="570" t="str">
        <f>Planilha!C21</f>
        <v>DEMOLIÇÃO DE ALVENARIA DE BLOCO FURADO, DE FORMA MANUAL, SEM REAPROVEITAMENTO. AF_12/2017</v>
      </c>
      <c r="C31" s="571"/>
      <c r="D31" s="571"/>
      <c r="E31" s="572"/>
      <c r="F31" s="81">
        <f>G43</f>
        <v>7.41</v>
      </c>
      <c r="G31" s="80" t="s">
        <v>108</v>
      </c>
    </row>
    <row r="32" spans="1:7" ht="12.75">
      <c r="A32" s="33"/>
      <c r="B32" s="34"/>
      <c r="C32" s="34"/>
      <c r="D32" s="34"/>
      <c r="E32" s="45"/>
      <c r="F32" s="34"/>
      <c r="G32" s="35"/>
    </row>
    <row r="33" spans="1:7" ht="12.75">
      <c r="A33" s="33"/>
      <c r="B33" s="114" t="s">
        <v>20</v>
      </c>
      <c r="C33" s="114" t="s">
        <v>217</v>
      </c>
      <c r="D33" s="204" t="s">
        <v>238</v>
      </c>
      <c r="E33" s="114" t="s">
        <v>220</v>
      </c>
      <c r="F33" s="198" t="s">
        <v>222</v>
      </c>
      <c r="G33" s="439" t="s">
        <v>218</v>
      </c>
    </row>
    <row r="34" spans="1:7" ht="12.75">
      <c r="A34" s="33"/>
      <c r="B34" s="333" t="s">
        <v>532</v>
      </c>
      <c r="C34" s="108">
        <v>1.1</v>
      </c>
      <c r="D34" s="108">
        <v>3.2</v>
      </c>
      <c r="E34" s="108">
        <v>0.15</v>
      </c>
      <c r="F34" s="92"/>
      <c r="G34" s="440">
        <f>((C34*D34)-F34)*E34</f>
        <v>0.53</v>
      </c>
    </row>
    <row r="35" spans="1:7" ht="12.75">
      <c r="A35" s="33"/>
      <c r="B35" s="106" t="s">
        <v>221</v>
      </c>
      <c r="C35" s="108">
        <v>1.9</v>
      </c>
      <c r="D35" s="108">
        <v>2.4</v>
      </c>
      <c r="E35" s="108">
        <v>0.15</v>
      </c>
      <c r="F35" s="92">
        <v>0.12</v>
      </c>
      <c r="G35" s="440">
        <f>((C35*D35)-F35)*E35</f>
        <v>0.67</v>
      </c>
    </row>
    <row r="36" spans="1:7" ht="12.75">
      <c r="A36" s="33"/>
      <c r="B36" s="106" t="s">
        <v>223</v>
      </c>
      <c r="C36" s="108">
        <v>3</v>
      </c>
      <c r="D36" s="108">
        <v>2.9</v>
      </c>
      <c r="E36" s="108">
        <v>0.15</v>
      </c>
      <c r="F36" s="92">
        <v>0.25</v>
      </c>
      <c r="G36" s="440">
        <f>((C36*D36)-F36)*E36</f>
        <v>1.27</v>
      </c>
    </row>
    <row r="37" spans="1:7" ht="12.75">
      <c r="A37" s="33"/>
      <c r="B37" s="106" t="s">
        <v>224</v>
      </c>
      <c r="C37" s="108">
        <v>3</v>
      </c>
      <c r="D37" s="108">
        <v>3.2</v>
      </c>
      <c r="E37" s="108">
        <v>0.15</v>
      </c>
      <c r="F37" s="92">
        <v>0.25</v>
      </c>
      <c r="G37" s="440">
        <f>((C37*D37)-F37)*E37</f>
        <v>1.4</v>
      </c>
    </row>
    <row r="38" spans="1:7" ht="12.75">
      <c r="A38" s="33"/>
      <c r="B38" s="106" t="s">
        <v>254</v>
      </c>
      <c r="C38" s="108">
        <v>1.8</v>
      </c>
      <c r="D38" s="108">
        <v>2.45</v>
      </c>
      <c r="E38" s="108">
        <v>0.15</v>
      </c>
      <c r="F38" s="92">
        <v>0.18</v>
      </c>
      <c r="G38" s="440">
        <f>((C38*D38)-F38)*E38</f>
        <v>0.63</v>
      </c>
    </row>
    <row r="39" spans="1:7" ht="12.75">
      <c r="A39" s="33"/>
      <c r="B39" s="76" t="s">
        <v>255</v>
      </c>
      <c r="C39" s="238">
        <v>1.8</v>
      </c>
      <c r="D39" s="238">
        <v>1.2</v>
      </c>
      <c r="E39" s="238">
        <v>0.15</v>
      </c>
      <c r="F39" s="45"/>
      <c r="G39" s="441">
        <f>((C39*(D39*2)-F39)*E39)</f>
        <v>0.65</v>
      </c>
    </row>
    <row r="40" spans="1:7" ht="12.75">
      <c r="A40" s="33"/>
      <c r="B40" s="106" t="s">
        <v>219</v>
      </c>
      <c r="C40" s="108">
        <v>1.8</v>
      </c>
      <c r="D40" s="108">
        <v>2.1</v>
      </c>
      <c r="E40" s="108">
        <v>0.15</v>
      </c>
      <c r="F40" s="92">
        <v>0.25</v>
      </c>
      <c r="G40" s="441">
        <f>((C40*(D40*2)-F40)*E40)</f>
        <v>1.1</v>
      </c>
    </row>
    <row r="41" spans="1:7" ht="12.75">
      <c r="A41" s="33"/>
      <c r="B41" s="106" t="s">
        <v>234</v>
      </c>
      <c r="C41" s="108">
        <v>2.15</v>
      </c>
      <c r="D41" s="108">
        <v>0.9</v>
      </c>
      <c r="E41" s="108">
        <v>0.15</v>
      </c>
      <c r="F41" s="92"/>
      <c r="G41" s="440">
        <f>((C41*(D41*2)-F41)*E41)</f>
        <v>0.58</v>
      </c>
    </row>
    <row r="42" spans="1:7" ht="13.5" thickBot="1">
      <c r="A42" s="33"/>
      <c r="B42" s="106" t="s">
        <v>221</v>
      </c>
      <c r="C42" s="108">
        <v>2.15</v>
      </c>
      <c r="D42" s="108">
        <v>0.9</v>
      </c>
      <c r="E42" s="108">
        <v>0.15</v>
      </c>
      <c r="F42" s="86"/>
      <c r="G42" s="441">
        <f>((C42*(D42*2)-F42)*E42)</f>
        <v>0.58</v>
      </c>
    </row>
    <row r="43" spans="1:7" ht="13.5" thickBot="1">
      <c r="A43" s="33"/>
      <c r="B43" s="52"/>
      <c r="C43" s="52"/>
      <c r="D43" s="481"/>
      <c r="E43" s="37"/>
      <c r="F43" s="202" t="s">
        <v>2</v>
      </c>
      <c r="G43" s="287">
        <f>SUM(G34:G42)</f>
        <v>7.41</v>
      </c>
    </row>
    <row r="44" spans="1:7" ht="13.5" thickBot="1">
      <c r="A44" s="33"/>
      <c r="B44" s="34"/>
      <c r="C44" s="34"/>
      <c r="D44" s="481"/>
      <c r="E44" s="37"/>
      <c r="F44" s="481"/>
      <c r="G44" s="35"/>
    </row>
    <row r="45" spans="1:7" ht="13.5" thickBot="1">
      <c r="A45" s="80" t="s">
        <v>49</v>
      </c>
      <c r="B45" s="576" t="str">
        <f>Planilha!C22</f>
        <v>DEMOLIÇÃO DE RODAPÉ CERÂMICO, DE FORMA MANUAL, SEM REAPROVEITAMENTO. AF_12/2017</v>
      </c>
      <c r="C45" s="577"/>
      <c r="D45" s="577"/>
      <c r="E45" s="578"/>
      <c r="F45" s="80">
        <f>F64</f>
        <v>198.25</v>
      </c>
      <c r="G45" s="80" t="s">
        <v>25</v>
      </c>
    </row>
    <row r="46" spans="1:7" ht="12.75">
      <c r="A46" s="33"/>
      <c r="B46" s="45"/>
      <c r="C46" s="45"/>
      <c r="D46" s="34"/>
      <c r="E46" s="45"/>
      <c r="F46" s="34"/>
      <c r="G46" s="35"/>
    </row>
    <row r="47" spans="1:7" ht="12.75">
      <c r="A47" s="33"/>
      <c r="B47" s="198" t="s">
        <v>20</v>
      </c>
      <c r="C47" s="198" t="s">
        <v>252</v>
      </c>
      <c r="D47" s="198" t="s">
        <v>227</v>
      </c>
      <c r="E47" s="198" t="s">
        <v>507</v>
      </c>
      <c r="F47" s="198" t="s">
        <v>228</v>
      </c>
      <c r="G47" s="35"/>
    </row>
    <row r="48" spans="1:7" ht="12.75">
      <c r="A48" s="33"/>
      <c r="B48" s="92" t="s">
        <v>226</v>
      </c>
      <c r="C48" s="92">
        <v>2.45</v>
      </c>
      <c r="D48" s="92">
        <v>3.25</v>
      </c>
      <c r="E48" s="92"/>
      <c r="F48" s="215">
        <f>((C48+D48)*2)</f>
        <v>11.4</v>
      </c>
      <c r="G48" s="217"/>
    </row>
    <row r="49" spans="1:7" ht="12.75">
      <c r="A49" s="33"/>
      <c r="B49" s="92" t="s">
        <v>229</v>
      </c>
      <c r="C49" s="92">
        <v>1.75</v>
      </c>
      <c r="D49" s="92">
        <v>3.25</v>
      </c>
      <c r="E49" s="92"/>
      <c r="F49" s="215">
        <f aca="true" t="shared" si="0" ref="F49:F58">((C49+D49)*2)</f>
        <v>10</v>
      </c>
      <c r="G49" s="217"/>
    </row>
    <row r="50" spans="1:7" ht="12.75">
      <c r="A50" s="33"/>
      <c r="B50" s="92" t="s">
        <v>537</v>
      </c>
      <c r="C50" s="92">
        <v>1.8</v>
      </c>
      <c r="D50" s="92">
        <v>3.25</v>
      </c>
      <c r="E50" s="92"/>
      <c r="F50" s="215">
        <f t="shared" si="0"/>
        <v>10.1</v>
      </c>
      <c r="G50" s="217"/>
    </row>
    <row r="51" spans="1:7" ht="12.75">
      <c r="A51" s="33"/>
      <c r="B51" s="92" t="s">
        <v>231</v>
      </c>
      <c r="C51" s="92">
        <v>3.05</v>
      </c>
      <c r="D51" s="92">
        <v>3.25</v>
      </c>
      <c r="E51" s="92"/>
      <c r="F51" s="215">
        <f t="shared" si="0"/>
        <v>12.6</v>
      </c>
      <c r="G51" s="217"/>
    </row>
    <row r="52" spans="1:7" ht="12.75">
      <c r="A52" s="33"/>
      <c r="B52" s="92" t="s">
        <v>223</v>
      </c>
      <c r="C52" s="92">
        <v>2.9</v>
      </c>
      <c r="D52" s="92">
        <v>3.25</v>
      </c>
      <c r="E52" s="92"/>
      <c r="F52" s="215">
        <f>((C52+(D52*2)))</f>
        <v>9.4</v>
      </c>
      <c r="G52" s="217"/>
    </row>
    <row r="53" spans="1:7" ht="12.75">
      <c r="A53" s="33"/>
      <c r="B53" s="92" t="s">
        <v>224</v>
      </c>
      <c r="C53" s="92">
        <v>2.6</v>
      </c>
      <c r="D53" s="92">
        <v>4.4</v>
      </c>
      <c r="E53" s="92"/>
      <c r="F53" s="215">
        <f t="shared" si="0"/>
        <v>14</v>
      </c>
      <c r="G53" s="217"/>
    </row>
    <row r="54" spans="1:7" ht="12.75">
      <c r="A54" s="33"/>
      <c r="B54" s="92" t="s">
        <v>232</v>
      </c>
      <c r="C54" s="92">
        <v>3.3</v>
      </c>
      <c r="D54" s="92">
        <v>7.6</v>
      </c>
      <c r="E54" s="213">
        <v>1.6</v>
      </c>
      <c r="F54" s="215">
        <f>((C54+D54)*2-E54)</f>
        <v>20.2</v>
      </c>
      <c r="G54" s="217"/>
    </row>
    <row r="55" spans="1:7" ht="12.75">
      <c r="A55" s="33"/>
      <c r="B55" s="92" t="s">
        <v>225</v>
      </c>
      <c r="C55" s="92">
        <v>4.5</v>
      </c>
      <c r="D55" s="92">
        <v>2.6</v>
      </c>
      <c r="E55" s="92"/>
      <c r="F55" s="215">
        <f t="shared" si="0"/>
        <v>14.2</v>
      </c>
      <c r="G55" s="217"/>
    </row>
    <row r="56" spans="1:7" ht="12.75">
      <c r="A56" s="33"/>
      <c r="B56" s="92" t="s">
        <v>233</v>
      </c>
      <c r="C56" s="92">
        <v>3.05</v>
      </c>
      <c r="D56" s="92">
        <v>1.6</v>
      </c>
      <c r="E56" s="92"/>
      <c r="F56" s="215">
        <f t="shared" si="0"/>
        <v>9.3</v>
      </c>
      <c r="G56" s="217"/>
    </row>
    <row r="57" spans="1:7" ht="12.75">
      <c r="A57" s="33"/>
      <c r="B57" s="92" t="s">
        <v>234</v>
      </c>
      <c r="C57" s="92">
        <v>3.6</v>
      </c>
      <c r="D57" s="92">
        <v>4.15</v>
      </c>
      <c r="E57" s="92"/>
      <c r="F57" s="215">
        <f t="shared" si="0"/>
        <v>15.5</v>
      </c>
      <c r="G57" s="217"/>
    </row>
    <row r="58" spans="1:7" ht="12.75">
      <c r="A58" s="33"/>
      <c r="B58" s="92" t="s">
        <v>235</v>
      </c>
      <c r="C58" s="92">
        <v>1.2</v>
      </c>
      <c r="D58" s="92">
        <v>1.2</v>
      </c>
      <c r="E58" s="92"/>
      <c r="F58" s="215">
        <f t="shared" si="0"/>
        <v>4.8</v>
      </c>
      <c r="G58" s="217"/>
    </row>
    <row r="59" spans="1:7" ht="12.75">
      <c r="A59" s="33"/>
      <c r="B59" s="92" t="s">
        <v>219</v>
      </c>
      <c r="C59" s="92">
        <v>3.35</v>
      </c>
      <c r="D59" s="92">
        <v>4.3</v>
      </c>
      <c r="E59" s="92"/>
      <c r="F59" s="215">
        <f>((C59+D59+2.75))</f>
        <v>10.4</v>
      </c>
      <c r="G59" s="217"/>
    </row>
    <row r="60" spans="1:7" ht="12.75">
      <c r="A60" s="33"/>
      <c r="B60" s="92" t="s">
        <v>236</v>
      </c>
      <c r="C60" s="92">
        <v>9.15</v>
      </c>
      <c r="D60" s="92">
        <v>1.2</v>
      </c>
      <c r="E60" s="92"/>
      <c r="F60" s="215">
        <f>((C60*2)+D60)</f>
        <v>19.5</v>
      </c>
      <c r="G60" s="217"/>
    </row>
    <row r="61" spans="1:7" ht="12.75">
      <c r="A61" s="33"/>
      <c r="B61" s="86" t="s">
        <v>237</v>
      </c>
      <c r="C61" s="86">
        <v>3.35</v>
      </c>
      <c r="D61" s="86">
        <v>3.35</v>
      </c>
      <c r="E61" s="86"/>
      <c r="F61" s="215">
        <f>C61+D61+1.15</f>
        <v>7.85</v>
      </c>
      <c r="G61" s="217"/>
    </row>
    <row r="62" spans="1:7" ht="12.75">
      <c r="A62" s="201"/>
      <c r="B62" s="213" t="s">
        <v>250</v>
      </c>
      <c r="C62" s="213">
        <v>23.35</v>
      </c>
      <c r="D62" s="213"/>
      <c r="E62" s="213"/>
      <c r="F62" s="216">
        <f>((C62+D62))</f>
        <v>23.35</v>
      </c>
      <c r="G62" s="218"/>
    </row>
    <row r="63" spans="1:7" ht="13.5" thickBot="1">
      <c r="A63" s="201"/>
      <c r="B63" s="213" t="s">
        <v>251</v>
      </c>
      <c r="C63" s="213">
        <v>5.65</v>
      </c>
      <c r="D63" s="213"/>
      <c r="E63" s="214"/>
      <c r="F63" s="216">
        <f>((C63+D63))</f>
        <v>5.65</v>
      </c>
      <c r="G63" s="218"/>
    </row>
    <row r="64" spans="1:7" ht="13.5" thickBot="1">
      <c r="A64" s="33"/>
      <c r="B64" s="45"/>
      <c r="C64" s="34"/>
      <c r="D64" s="34"/>
      <c r="E64" s="78" t="s">
        <v>2</v>
      </c>
      <c r="F64" s="404">
        <f>SUM(F48:F63)</f>
        <v>198.25</v>
      </c>
      <c r="G64" s="35"/>
    </row>
    <row r="65" spans="1:7" ht="13.5" thickBot="1">
      <c r="A65" s="33"/>
      <c r="B65" s="45"/>
      <c r="C65" s="34"/>
      <c r="D65" s="34"/>
      <c r="E65" s="45"/>
      <c r="F65" s="34"/>
      <c r="G65" s="61"/>
    </row>
    <row r="66" spans="1:7" ht="13.5" thickBot="1">
      <c r="A66" s="80" t="s">
        <v>50</v>
      </c>
      <c r="B66" s="570" t="str">
        <f>Planilha!C23</f>
        <v>DEMOLIÇÃO DE REVESTIMENTO CERÂMICO, DE FORMA MANUAL, SEM REAPROVEITAMENTO. AF_12/2017</v>
      </c>
      <c r="C66" s="571"/>
      <c r="D66" s="571"/>
      <c r="E66" s="571"/>
      <c r="F66" s="81">
        <f>G99</f>
        <v>292.54</v>
      </c>
      <c r="G66" s="480" t="s">
        <v>19</v>
      </c>
    </row>
    <row r="67" spans="1:7" ht="12.75">
      <c r="A67" s="33"/>
      <c r="B67" s="34"/>
      <c r="C67" s="34"/>
      <c r="D67" s="34"/>
      <c r="E67" s="45"/>
      <c r="F67" s="34"/>
      <c r="G67" s="35"/>
    </row>
    <row r="68" spans="1:7" s="206" customFormat="1" ht="12.75">
      <c r="A68" s="33"/>
      <c r="B68" s="581" t="s">
        <v>64</v>
      </c>
      <c r="C68" s="581"/>
      <c r="D68" s="581"/>
      <c r="E68" s="581"/>
      <c r="F68" s="34"/>
      <c r="G68" s="35"/>
    </row>
    <row r="69" spans="1:7" s="206" customFormat="1" ht="12.75">
      <c r="A69" s="33"/>
      <c r="B69" s="114" t="s">
        <v>20</v>
      </c>
      <c r="C69" s="114" t="s">
        <v>21</v>
      </c>
      <c r="D69" s="114" t="s">
        <v>26</v>
      </c>
      <c r="E69" s="114" t="s">
        <v>23</v>
      </c>
      <c r="F69" s="34"/>
      <c r="G69" s="35"/>
    </row>
    <row r="70" spans="1:7" ht="12.75">
      <c r="A70" s="33"/>
      <c r="B70" s="106" t="s">
        <v>226</v>
      </c>
      <c r="C70" s="108">
        <v>2.45</v>
      </c>
      <c r="D70" s="108">
        <v>3.25</v>
      </c>
      <c r="E70" s="108">
        <f>C70*D70</f>
        <v>7.96</v>
      </c>
      <c r="F70" s="34"/>
      <c r="G70" s="35"/>
    </row>
    <row r="71" spans="1:7" ht="12.75">
      <c r="A71" s="33"/>
      <c r="B71" s="106" t="s">
        <v>229</v>
      </c>
      <c r="C71" s="108">
        <v>1.75</v>
      </c>
      <c r="D71" s="108">
        <v>3.25</v>
      </c>
      <c r="E71" s="108">
        <f aca="true" t="shared" si="1" ref="E71:E85">C71*D71</f>
        <v>5.69</v>
      </c>
      <c r="F71" s="34"/>
      <c r="G71" s="35"/>
    </row>
    <row r="72" spans="1:7" ht="12.75">
      <c r="A72" s="33"/>
      <c r="B72" s="92" t="s">
        <v>537</v>
      </c>
      <c r="C72" s="108">
        <v>1.8</v>
      </c>
      <c r="D72" s="108">
        <v>3.25</v>
      </c>
      <c r="E72" s="108">
        <f t="shared" si="1"/>
        <v>5.85</v>
      </c>
      <c r="F72" s="34"/>
      <c r="G72" s="35"/>
    </row>
    <row r="73" spans="1:7" ht="12.75">
      <c r="A73" s="33"/>
      <c r="B73" s="106" t="s">
        <v>239</v>
      </c>
      <c r="C73" s="108">
        <v>3.05</v>
      </c>
      <c r="D73" s="108">
        <v>3.25</v>
      </c>
      <c r="E73" s="108">
        <f>C73*D73</f>
        <v>9.91</v>
      </c>
      <c r="F73" s="34"/>
      <c r="G73" s="35"/>
    </row>
    <row r="74" spans="1:7" ht="12.75">
      <c r="A74" s="33"/>
      <c r="B74" s="106" t="s">
        <v>223</v>
      </c>
      <c r="C74" s="108">
        <v>2.9</v>
      </c>
      <c r="D74" s="108">
        <v>3.25</v>
      </c>
      <c r="E74" s="108">
        <f t="shared" si="1"/>
        <v>9.43</v>
      </c>
      <c r="F74" s="34"/>
      <c r="G74" s="35"/>
    </row>
    <row r="75" spans="1:7" ht="12.75">
      <c r="A75" s="33"/>
      <c r="B75" s="92" t="s">
        <v>224</v>
      </c>
      <c r="C75" s="92">
        <v>2.6</v>
      </c>
      <c r="D75" s="92">
        <v>6.1</v>
      </c>
      <c r="E75" s="112">
        <f t="shared" si="1"/>
        <v>15.86</v>
      </c>
      <c r="F75" s="34"/>
      <c r="G75" s="35"/>
    </row>
    <row r="76" spans="1:7" ht="12.75">
      <c r="A76" s="33"/>
      <c r="B76" s="92" t="s">
        <v>530</v>
      </c>
      <c r="C76" s="92">
        <v>3.3</v>
      </c>
      <c r="D76" s="92">
        <v>1.45</v>
      </c>
      <c r="E76" s="112">
        <f t="shared" si="1"/>
        <v>4.79</v>
      </c>
      <c r="F76" s="34"/>
      <c r="G76" s="35"/>
    </row>
    <row r="77" spans="1:7" ht="12.75">
      <c r="A77" s="33"/>
      <c r="B77" s="92" t="s">
        <v>240</v>
      </c>
      <c r="C77" s="92">
        <v>3.3</v>
      </c>
      <c r="D77" s="92">
        <v>7.6</v>
      </c>
      <c r="E77" s="112">
        <f t="shared" si="1"/>
        <v>25.08</v>
      </c>
      <c r="F77" s="34"/>
      <c r="G77" s="35"/>
    </row>
    <row r="78" spans="1:7" ht="12.75">
      <c r="A78" s="33"/>
      <c r="B78" s="92" t="s">
        <v>225</v>
      </c>
      <c r="C78" s="92">
        <v>4.5</v>
      </c>
      <c r="D78" s="92">
        <v>2.6</v>
      </c>
      <c r="E78" s="112">
        <f t="shared" si="1"/>
        <v>11.7</v>
      </c>
      <c r="F78" s="34"/>
      <c r="G78" s="35"/>
    </row>
    <row r="79" spans="1:7" ht="12.75">
      <c r="A79" s="33"/>
      <c r="B79" s="92" t="s">
        <v>535</v>
      </c>
      <c r="C79" s="92">
        <v>1.3</v>
      </c>
      <c r="D79" s="92">
        <v>2.6</v>
      </c>
      <c r="E79" s="112">
        <f>C79*D79</f>
        <v>3.38</v>
      </c>
      <c r="F79" s="34"/>
      <c r="G79" s="35"/>
    </row>
    <row r="80" spans="1:7" ht="12.75">
      <c r="A80" s="33"/>
      <c r="B80" s="92" t="s">
        <v>219</v>
      </c>
      <c r="C80" s="92">
        <v>3.35</v>
      </c>
      <c r="D80" s="92">
        <v>2.75</v>
      </c>
      <c r="E80" s="112">
        <f t="shared" si="1"/>
        <v>9.21</v>
      </c>
      <c r="F80" s="34"/>
      <c r="G80" s="35"/>
    </row>
    <row r="81" spans="1:7" ht="12.75">
      <c r="A81" s="33"/>
      <c r="B81" s="92" t="s">
        <v>241</v>
      </c>
      <c r="C81" s="92">
        <v>9.15</v>
      </c>
      <c r="D81" s="92">
        <v>1.2</v>
      </c>
      <c r="E81" s="112">
        <f t="shared" si="1"/>
        <v>10.98</v>
      </c>
      <c r="F81" s="34"/>
      <c r="G81" s="35"/>
    </row>
    <row r="82" spans="1:7" ht="12.75">
      <c r="A82" s="33"/>
      <c r="B82" s="92" t="s">
        <v>242</v>
      </c>
      <c r="C82" s="92">
        <v>6.7</v>
      </c>
      <c r="D82" s="92">
        <v>2.75</v>
      </c>
      <c r="E82" s="112">
        <f t="shared" si="1"/>
        <v>18.43</v>
      </c>
      <c r="F82" s="34"/>
      <c r="G82" s="35"/>
    </row>
    <row r="83" spans="1:7" ht="12.75">
      <c r="A83" s="33"/>
      <c r="B83" s="92" t="s">
        <v>233</v>
      </c>
      <c r="C83" s="92">
        <v>3.05</v>
      </c>
      <c r="D83" s="92">
        <v>1.6</v>
      </c>
      <c r="E83" s="112">
        <f t="shared" si="1"/>
        <v>4.88</v>
      </c>
      <c r="F83" s="34"/>
      <c r="G83" s="35"/>
    </row>
    <row r="84" spans="1:7" ht="12.75">
      <c r="A84" s="33"/>
      <c r="B84" s="92" t="s">
        <v>243</v>
      </c>
      <c r="C84" s="92">
        <v>3.05</v>
      </c>
      <c r="D84" s="92">
        <v>2.4</v>
      </c>
      <c r="E84" s="112">
        <f>C84*D84</f>
        <v>7.32</v>
      </c>
      <c r="F84" s="34"/>
      <c r="G84" s="35"/>
    </row>
    <row r="85" spans="1:7" ht="12.75">
      <c r="A85" s="33"/>
      <c r="B85" s="92" t="s">
        <v>234</v>
      </c>
      <c r="C85" s="92">
        <v>3.6</v>
      </c>
      <c r="D85" s="92">
        <v>4.15</v>
      </c>
      <c r="E85" s="112">
        <f t="shared" si="1"/>
        <v>14.94</v>
      </c>
      <c r="F85" s="34"/>
      <c r="G85" s="35"/>
    </row>
    <row r="86" spans="1:7" ht="13.5" thickBot="1">
      <c r="A86" s="33"/>
      <c r="B86" s="92" t="s">
        <v>250</v>
      </c>
      <c r="C86" s="92">
        <v>23.35</v>
      </c>
      <c r="D86" s="92">
        <v>1.7</v>
      </c>
      <c r="E86" s="112">
        <f>C86*D86</f>
        <v>39.7</v>
      </c>
      <c r="F86" s="34"/>
      <c r="G86" s="35"/>
    </row>
    <row r="87" spans="1:7" ht="13.5" thickBot="1">
      <c r="A87" s="33"/>
      <c r="B87" s="45"/>
      <c r="C87" s="45"/>
      <c r="D87" s="202" t="s">
        <v>69</v>
      </c>
      <c r="E87" s="212">
        <f>SUM(E70:E86)</f>
        <v>205.11</v>
      </c>
      <c r="F87" s="34"/>
      <c r="G87" s="35"/>
    </row>
    <row r="88" spans="1:7" ht="12.75">
      <c r="A88" s="33"/>
      <c r="B88" s="45"/>
      <c r="C88" s="45"/>
      <c r="D88" s="45"/>
      <c r="E88" s="205"/>
      <c r="F88" s="34"/>
      <c r="G88" s="35"/>
    </row>
    <row r="89" spans="1:7" ht="12.75">
      <c r="A89" s="33"/>
      <c r="B89" s="45"/>
      <c r="C89" s="45"/>
      <c r="D89" s="45"/>
      <c r="E89" s="205"/>
      <c r="F89" s="34"/>
      <c r="G89" s="35"/>
    </row>
    <row r="90" spans="1:7" ht="12.75">
      <c r="A90" s="33"/>
      <c r="B90" s="596" t="s">
        <v>247</v>
      </c>
      <c r="C90" s="597"/>
      <c r="D90" s="597"/>
      <c r="E90" s="597"/>
      <c r="F90" s="597"/>
      <c r="G90" s="598"/>
    </row>
    <row r="91" spans="1:7" ht="12.75">
      <c r="A91" s="33"/>
      <c r="B91" s="198" t="s">
        <v>20</v>
      </c>
      <c r="C91" s="407" t="s">
        <v>245</v>
      </c>
      <c r="D91" s="407" t="s">
        <v>238</v>
      </c>
      <c r="E91" s="199" t="s">
        <v>249</v>
      </c>
      <c r="F91" s="209" t="s">
        <v>248</v>
      </c>
      <c r="G91" s="442" t="s">
        <v>246</v>
      </c>
    </row>
    <row r="92" spans="1:7" ht="12.75">
      <c r="A92" s="33"/>
      <c r="B92" s="92" t="s">
        <v>530</v>
      </c>
      <c r="C92" s="213">
        <v>3.3</v>
      </c>
      <c r="D92" s="408">
        <v>1.35</v>
      </c>
      <c r="E92" s="286">
        <v>1.8</v>
      </c>
      <c r="F92" s="210">
        <v>1.68</v>
      </c>
      <c r="G92" s="443">
        <f aca="true" t="shared" si="2" ref="G92:G97">(((C92*2)+(D92*2))*E92)-F92</f>
        <v>15.06</v>
      </c>
    </row>
    <row r="93" spans="1:7" ht="12.75">
      <c r="A93" s="33"/>
      <c r="B93" s="92" t="s">
        <v>536</v>
      </c>
      <c r="C93" s="213">
        <v>1.3</v>
      </c>
      <c r="D93" s="409">
        <v>2.6</v>
      </c>
      <c r="E93" s="286">
        <v>1.8</v>
      </c>
      <c r="F93" s="210"/>
      <c r="G93" s="443">
        <f t="shared" si="2"/>
        <v>14.04</v>
      </c>
    </row>
    <row r="94" spans="1:7" ht="12.75">
      <c r="A94" s="33"/>
      <c r="B94" s="92" t="s">
        <v>221</v>
      </c>
      <c r="C94" s="213">
        <v>3.05</v>
      </c>
      <c r="D94" s="253">
        <v>2.4</v>
      </c>
      <c r="E94" s="286">
        <f>E92</f>
        <v>1.8</v>
      </c>
      <c r="F94" s="210">
        <v>1.92</v>
      </c>
      <c r="G94" s="444">
        <f t="shared" si="2"/>
        <v>17.7</v>
      </c>
    </row>
    <row r="95" spans="1:7" ht="12.75">
      <c r="A95" s="33"/>
      <c r="B95" s="92" t="s">
        <v>223</v>
      </c>
      <c r="C95" s="213">
        <v>2.9</v>
      </c>
      <c r="D95" s="213"/>
      <c r="E95" s="253">
        <v>0.35</v>
      </c>
      <c r="F95" s="210"/>
      <c r="G95" s="444">
        <f t="shared" si="2"/>
        <v>2.03</v>
      </c>
    </row>
    <row r="96" spans="1:7" ht="12.75">
      <c r="A96" s="33"/>
      <c r="B96" s="92" t="s">
        <v>244</v>
      </c>
      <c r="C96" s="213">
        <v>2.05</v>
      </c>
      <c r="D96" s="213">
        <v>4.15</v>
      </c>
      <c r="E96" s="253">
        <v>1.8</v>
      </c>
      <c r="F96" s="210">
        <v>1.68</v>
      </c>
      <c r="G96" s="444">
        <f t="shared" si="2"/>
        <v>20.64</v>
      </c>
    </row>
    <row r="97" spans="1:7" ht="13.5" thickBot="1">
      <c r="A97" s="33"/>
      <c r="B97" s="92" t="s">
        <v>226</v>
      </c>
      <c r="C97" s="213">
        <v>2.45</v>
      </c>
      <c r="D97" s="213">
        <v>3.25</v>
      </c>
      <c r="E97" s="253">
        <v>1.8</v>
      </c>
      <c r="F97" s="405">
        <v>2.56</v>
      </c>
      <c r="G97" s="444">
        <f t="shared" si="2"/>
        <v>17.96</v>
      </c>
    </row>
    <row r="98" spans="1:7" ht="13.5" thickBot="1">
      <c r="A98" s="33"/>
      <c r="B98" s="45"/>
      <c r="C98" s="45"/>
      <c r="D98" s="45"/>
      <c r="E98" s="205"/>
      <c r="F98" s="202" t="s">
        <v>69</v>
      </c>
      <c r="G98" s="202">
        <f>SUM(G92:G97)</f>
        <v>87.43</v>
      </c>
    </row>
    <row r="99" spans="1:7" ht="13.5" thickBot="1">
      <c r="A99" s="33"/>
      <c r="B99" s="45"/>
      <c r="C99" s="45"/>
      <c r="D99" s="45"/>
      <c r="E99" s="205"/>
      <c r="F99" s="202" t="s">
        <v>2</v>
      </c>
      <c r="G99" s="212">
        <f>SUM(E87+G98)</f>
        <v>292.54</v>
      </c>
    </row>
    <row r="100" spans="1:7" ht="13.5" thickBot="1">
      <c r="A100" s="33"/>
      <c r="B100" s="45"/>
      <c r="C100" s="45"/>
      <c r="D100" s="45"/>
      <c r="E100" s="205"/>
      <c r="F100" s="52"/>
      <c r="G100" s="35"/>
    </row>
    <row r="101" spans="1:7" ht="13.5" thickBot="1">
      <c r="A101" s="80" t="s">
        <v>51</v>
      </c>
      <c r="B101" s="570" t="str">
        <f>Planilha!C24</f>
        <v>REMOÇÃO DE JANELAS, DE FORMA MANUAL, SEM REAPROVEITAMENTO. AF_12/2017</v>
      </c>
      <c r="C101" s="571"/>
      <c r="D101" s="571"/>
      <c r="E101" s="572"/>
      <c r="F101" s="81">
        <f>F108</f>
        <v>7.32</v>
      </c>
      <c r="G101" s="80" t="s">
        <v>19</v>
      </c>
    </row>
    <row r="102" spans="1:7" ht="12.75">
      <c r="A102" s="33"/>
      <c r="B102" s="34"/>
      <c r="C102" s="34"/>
      <c r="D102" s="34"/>
      <c r="E102" s="45"/>
      <c r="F102" s="34"/>
      <c r="G102" s="35"/>
    </row>
    <row r="103" spans="1:7" ht="12.75">
      <c r="A103" s="33"/>
      <c r="B103" s="114" t="s">
        <v>20</v>
      </c>
      <c r="C103" s="114" t="s">
        <v>21</v>
      </c>
      <c r="D103" s="114" t="s">
        <v>22</v>
      </c>
      <c r="E103" s="221" t="s">
        <v>24</v>
      </c>
      <c r="F103" s="114" t="s">
        <v>23</v>
      </c>
      <c r="G103" s="35"/>
    </row>
    <row r="104" spans="1:14" ht="12.75">
      <c r="A104" s="33"/>
      <c r="B104" s="106" t="s">
        <v>223</v>
      </c>
      <c r="C104" s="108">
        <v>1.4</v>
      </c>
      <c r="D104" s="108">
        <v>1.2</v>
      </c>
      <c r="E104" s="210">
        <v>1</v>
      </c>
      <c r="F104" s="108">
        <f>(C104*D104)*E104</f>
        <v>1.68</v>
      </c>
      <c r="G104" s="35"/>
      <c r="I104" s="52"/>
      <c r="J104" s="52"/>
      <c r="K104" s="52"/>
      <c r="L104" s="52"/>
      <c r="M104" s="52"/>
      <c r="N104" s="52"/>
    </row>
    <row r="105" spans="1:14" ht="12.75">
      <c r="A105" s="33"/>
      <c r="B105" s="92" t="s">
        <v>240</v>
      </c>
      <c r="C105" s="108">
        <v>1.4</v>
      </c>
      <c r="D105" s="286">
        <v>1.2</v>
      </c>
      <c r="E105" s="210">
        <v>2</v>
      </c>
      <c r="F105" s="108">
        <f>(C105*D105)*E105</f>
        <v>3.36</v>
      </c>
      <c r="G105" s="35"/>
      <c r="I105" s="52"/>
      <c r="J105" s="52"/>
      <c r="K105" s="52"/>
      <c r="L105" s="52"/>
      <c r="M105" s="52"/>
      <c r="N105" s="52"/>
    </row>
    <row r="106" spans="1:14" ht="12.75">
      <c r="A106" s="33"/>
      <c r="B106" s="92" t="s">
        <v>536</v>
      </c>
      <c r="C106" s="108">
        <v>1</v>
      </c>
      <c r="D106" s="286">
        <v>0.6</v>
      </c>
      <c r="E106" s="210">
        <v>1</v>
      </c>
      <c r="F106" s="108">
        <f>(C106*D106)*E106</f>
        <v>0.6</v>
      </c>
      <c r="G106" s="35"/>
      <c r="I106" s="52"/>
      <c r="J106" s="52"/>
      <c r="K106" s="52"/>
      <c r="L106" s="52"/>
      <c r="M106" s="52"/>
      <c r="N106" s="52"/>
    </row>
    <row r="107" spans="1:14" ht="13.5" thickBot="1">
      <c r="A107" s="33"/>
      <c r="B107" s="92" t="s">
        <v>219</v>
      </c>
      <c r="C107" s="108">
        <v>1.4</v>
      </c>
      <c r="D107" s="286">
        <v>1.2</v>
      </c>
      <c r="E107" s="405">
        <v>1</v>
      </c>
      <c r="F107" s="238">
        <f>(C107*D107)*E107</f>
        <v>1.68</v>
      </c>
      <c r="G107" s="35"/>
      <c r="I107" s="52"/>
      <c r="J107" s="52"/>
      <c r="K107" s="52"/>
      <c r="L107" s="52"/>
      <c r="M107" s="52"/>
      <c r="N107" s="52"/>
    </row>
    <row r="108" spans="1:14" ht="13.5" thickBot="1">
      <c r="A108" s="33"/>
      <c r="B108" s="52"/>
      <c r="C108" s="34"/>
      <c r="D108" s="52"/>
      <c r="E108" s="202" t="s">
        <v>2</v>
      </c>
      <c r="F108" s="212">
        <f>SUM(F104:F107)</f>
        <v>7.32</v>
      </c>
      <c r="G108" s="35"/>
      <c r="I108" s="52"/>
      <c r="J108" s="52"/>
      <c r="K108" s="52"/>
      <c r="L108" s="52"/>
      <c r="M108" s="52"/>
      <c r="N108" s="52"/>
    </row>
    <row r="109" spans="1:14" ht="13.5" thickBot="1">
      <c r="A109" s="33"/>
      <c r="B109" s="34"/>
      <c r="C109" s="34"/>
      <c r="D109" s="34"/>
      <c r="E109" s="45"/>
      <c r="F109" s="34"/>
      <c r="G109" s="35"/>
      <c r="I109" s="52"/>
      <c r="J109" s="52"/>
      <c r="K109" s="52"/>
      <c r="L109" s="52"/>
      <c r="M109" s="52"/>
      <c r="N109" s="52"/>
    </row>
    <row r="110" spans="1:14" ht="13.5" thickBot="1">
      <c r="A110" s="80" t="s">
        <v>206</v>
      </c>
      <c r="B110" s="545" t="str">
        <f>Planilha!C25</f>
        <v>REMOÇÃO DE PORTAS, DE FORMA MANUAL, SEM REAPROVEITAMENTO. AF_12/2017</v>
      </c>
      <c r="C110" s="546"/>
      <c r="D110" s="546"/>
      <c r="E110" s="547"/>
      <c r="F110" s="81">
        <f>E130</f>
        <v>29.4</v>
      </c>
      <c r="G110" s="80" t="s">
        <v>19</v>
      </c>
      <c r="I110" s="52"/>
      <c r="J110" s="52"/>
      <c r="K110" s="52"/>
      <c r="L110" s="52"/>
      <c r="M110" s="52"/>
      <c r="N110" s="52"/>
    </row>
    <row r="111" spans="1:14" ht="12.75">
      <c r="A111" s="477"/>
      <c r="B111" s="34"/>
      <c r="C111" s="34"/>
      <c r="D111" s="52"/>
      <c r="E111" s="52"/>
      <c r="F111" s="52"/>
      <c r="G111" s="32"/>
      <c r="I111" s="52"/>
      <c r="J111" s="52"/>
      <c r="K111" s="52"/>
      <c r="L111" s="52"/>
      <c r="M111" s="52"/>
      <c r="N111" s="52"/>
    </row>
    <row r="112" spans="1:14" ht="12.75">
      <c r="A112" s="477"/>
      <c r="B112" s="198" t="s">
        <v>20</v>
      </c>
      <c r="C112" s="198" t="s">
        <v>245</v>
      </c>
      <c r="D112" s="198" t="s">
        <v>249</v>
      </c>
      <c r="E112" s="208" t="s">
        <v>246</v>
      </c>
      <c r="F112" s="481"/>
      <c r="G112" s="445"/>
      <c r="I112" s="52"/>
      <c r="J112" s="52"/>
      <c r="K112" s="52"/>
      <c r="L112" s="52"/>
      <c r="M112" s="52"/>
      <c r="N112" s="52"/>
    </row>
    <row r="113" spans="1:14" ht="12.75">
      <c r="A113" s="573"/>
      <c r="B113" s="104" t="s">
        <v>226</v>
      </c>
      <c r="C113" s="91">
        <v>0.8</v>
      </c>
      <c r="D113" s="91">
        <v>2.1</v>
      </c>
      <c r="E113" s="105">
        <f>C113*D113</f>
        <v>1.68</v>
      </c>
      <c r="F113" s="45"/>
      <c r="G113" s="446"/>
      <c r="I113" s="52"/>
      <c r="J113" s="52"/>
      <c r="K113" s="52"/>
      <c r="L113" s="52"/>
      <c r="M113" s="52"/>
      <c r="N113" s="52"/>
    </row>
    <row r="114" spans="1:14" ht="12.75">
      <c r="A114" s="573"/>
      <c r="B114" s="106" t="s">
        <v>229</v>
      </c>
      <c r="C114" s="84">
        <v>0.8</v>
      </c>
      <c r="D114" s="107">
        <v>2.1</v>
      </c>
      <c r="E114" s="105">
        <f>C114*D114</f>
        <v>1.68</v>
      </c>
      <c r="F114" s="45"/>
      <c r="G114" s="446"/>
      <c r="I114" s="52"/>
      <c r="J114" s="52"/>
      <c r="K114" s="52"/>
      <c r="L114" s="52"/>
      <c r="M114" s="52"/>
      <c r="N114" s="52"/>
    </row>
    <row r="115" spans="1:14" ht="12.75">
      <c r="A115" s="477"/>
      <c r="B115" s="106" t="s">
        <v>230</v>
      </c>
      <c r="C115" s="91">
        <v>0.8</v>
      </c>
      <c r="D115" s="107">
        <v>2.1</v>
      </c>
      <c r="E115" s="105">
        <f>C115*D115</f>
        <v>1.68</v>
      </c>
      <c r="F115" s="45"/>
      <c r="G115" s="446"/>
      <c r="I115" s="52"/>
      <c r="J115" s="52"/>
      <c r="K115" s="52"/>
      <c r="L115" s="52"/>
      <c r="M115" s="52"/>
      <c r="N115" s="52"/>
    </row>
    <row r="116" spans="1:10" ht="12.75">
      <c r="A116" s="477"/>
      <c r="B116" s="92" t="s">
        <v>231</v>
      </c>
      <c r="C116" s="91">
        <v>0.8</v>
      </c>
      <c r="D116" s="112">
        <v>2.1</v>
      </c>
      <c r="E116" s="105">
        <f aca="true" t="shared" si="3" ref="E116:E129">C116*D116</f>
        <v>1.68</v>
      </c>
      <c r="F116" s="45"/>
      <c r="G116" s="90"/>
      <c r="I116" s="220"/>
      <c r="J116" s="59" t="s">
        <v>36</v>
      </c>
    </row>
    <row r="117" spans="1:7" ht="12.75">
      <c r="A117" s="477"/>
      <c r="B117" s="92" t="s">
        <v>223</v>
      </c>
      <c r="C117" s="91">
        <v>0.8</v>
      </c>
      <c r="D117" s="112">
        <v>2.1</v>
      </c>
      <c r="E117" s="105">
        <f t="shared" si="3"/>
        <v>1.68</v>
      </c>
      <c r="F117" s="45"/>
      <c r="G117" s="90"/>
    </row>
    <row r="118" spans="1:7" ht="12.75">
      <c r="A118" s="477"/>
      <c r="B118" s="92" t="s">
        <v>224</v>
      </c>
      <c r="C118" s="91">
        <v>0.8</v>
      </c>
      <c r="D118" s="112">
        <v>2.1</v>
      </c>
      <c r="E118" s="105">
        <f t="shared" si="3"/>
        <v>1.68</v>
      </c>
      <c r="F118" s="45"/>
      <c r="G118" s="90"/>
    </row>
    <row r="119" spans="1:7" ht="12.75">
      <c r="A119" s="477"/>
      <c r="B119" s="92" t="s">
        <v>530</v>
      </c>
      <c r="C119" s="91">
        <v>0.8</v>
      </c>
      <c r="D119" s="112">
        <v>2.1</v>
      </c>
      <c r="E119" s="105">
        <f t="shared" si="3"/>
        <v>1.68</v>
      </c>
      <c r="F119" s="45"/>
      <c r="G119" s="90"/>
    </row>
    <row r="120" spans="1:7" ht="12.75">
      <c r="A120" s="477"/>
      <c r="B120" s="92" t="s">
        <v>240</v>
      </c>
      <c r="C120" s="91">
        <v>0.8</v>
      </c>
      <c r="D120" s="112">
        <v>2.1</v>
      </c>
      <c r="E120" s="105">
        <f t="shared" si="3"/>
        <v>1.68</v>
      </c>
      <c r="F120" s="45"/>
      <c r="G120" s="90"/>
    </row>
    <row r="121" spans="1:7" ht="12.75">
      <c r="A121" s="477"/>
      <c r="B121" s="92" t="s">
        <v>225</v>
      </c>
      <c r="C121" s="91">
        <v>0.8</v>
      </c>
      <c r="D121" s="112">
        <v>2.1</v>
      </c>
      <c r="E121" s="105">
        <f t="shared" si="3"/>
        <v>1.68</v>
      </c>
      <c r="F121" s="45"/>
      <c r="G121" s="90"/>
    </row>
    <row r="122" spans="1:7" ht="12.75">
      <c r="A122" s="477"/>
      <c r="B122" s="92" t="s">
        <v>536</v>
      </c>
      <c r="C122" s="91">
        <v>0.8</v>
      </c>
      <c r="D122" s="112">
        <v>2.1</v>
      </c>
      <c r="E122" s="105">
        <f t="shared" si="3"/>
        <v>1.68</v>
      </c>
      <c r="F122" s="45"/>
      <c r="G122" s="90"/>
    </row>
    <row r="123" spans="1:7" ht="12.75">
      <c r="A123" s="477"/>
      <c r="B123" s="92" t="s">
        <v>219</v>
      </c>
      <c r="C123" s="91">
        <v>1.2</v>
      </c>
      <c r="D123" s="112">
        <v>2.1</v>
      </c>
      <c r="E123" s="105">
        <f t="shared" si="3"/>
        <v>2.52</v>
      </c>
      <c r="F123" s="45"/>
      <c r="G123" s="90"/>
    </row>
    <row r="124" spans="1:7" ht="12.75">
      <c r="A124" s="477"/>
      <c r="B124" s="92" t="s">
        <v>233</v>
      </c>
      <c r="C124" s="91">
        <v>0.8</v>
      </c>
      <c r="D124" s="112">
        <v>2.1</v>
      </c>
      <c r="E124" s="105">
        <f t="shared" si="3"/>
        <v>1.68</v>
      </c>
      <c r="F124" s="45"/>
      <c r="G124" s="90"/>
    </row>
    <row r="125" spans="1:7" ht="12.75">
      <c r="A125" s="477"/>
      <c r="B125" s="92" t="s">
        <v>221</v>
      </c>
      <c r="C125" s="91">
        <v>0.8</v>
      </c>
      <c r="D125" s="112">
        <v>2.1</v>
      </c>
      <c r="E125" s="105">
        <f t="shared" si="3"/>
        <v>1.68</v>
      </c>
      <c r="F125" s="45"/>
      <c r="G125" s="90"/>
    </row>
    <row r="126" spans="1:7" ht="12.75">
      <c r="A126" s="477"/>
      <c r="B126" s="92" t="s">
        <v>234</v>
      </c>
      <c r="C126" s="91">
        <v>0.8</v>
      </c>
      <c r="D126" s="112">
        <v>2.1</v>
      </c>
      <c r="E126" s="105">
        <f t="shared" si="3"/>
        <v>1.68</v>
      </c>
      <c r="F126" s="45"/>
      <c r="G126" s="90"/>
    </row>
    <row r="127" spans="1:7" ht="12.75">
      <c r="A127" s="477"/>
      <c r="B127" s="92" t="s">
        <v>235</v>
      </c>
      <c r="C127" s="91">
        <v>0.8</v>
      </c>
      <c r="D127" s="112">
        <v>2.1</v>
      </c>
      <c r="E127" s="105">
        <f t="shared" si="3"/>
        <v>1.68</v>
      </c>
      <c r="F127" s="45"/>
      <c r="G127" s="90"/>
    </row>
    <row r="128" spans="1:7" ht="12.75">
      <c r="A128" s="477"/>
      <c r="B128" s="92" t="s">
        <v>351</v>
      </c>
      <c r="C128" s="91">
        <v>0.8</v>
      </c>
      <c r="D128" s="112">
        <v>2.1</v>
      </c>
      <c r="E128" s="105">
        <f t="shared" si="3"/>
        <v>1.68</v>
      </c>
      <c r="F128" s="45"/>
      <c r="G128" s="90"/>
    </row>
    <row r="129" spans="1:7" ht="13.5" thickBot="1">
      <c r="A129" s="477"/>
      <c r="B129" s="92" t="s">
        <v>236</v>
      </c>
      <c r="C129" s="91">
        <v>0.8</v>
      </c>
      <c r="D129" s="112">
        <v>2.1</v>
      </c>
      <c r="E129" s="105">
        <f t="shared" si="3"/>
        <v>1.68</v>
      </c>
      <c r="F129" s="45"/>
      <c r="G129" s="90"/>
    </row>
    <row r="130" spans="1:7" ht="13.5" thickBot="1">
      <c r="A130" s="477"/>
      <c r="B130" s="72"/>
      <c r="C130" s="71"/>
      <c r="D130" s="223" t="s">
        <v>2</v>
      </c>
      <c r="E130" s="222">
        <f>SUM(E113:E129)</f>
        <v>29.4</v>
      </c>
      <c r="F130" s="77"/>
      <c r="G130" s="392"/>
    </row>
    <row r="131" spans="1:7" ht="13.5" thickBot="1">
      <c r="A131" s="477"/>
      <c r="B131" s="70"/>
      <c r="C131" s="41"/>
      <c r="D131" s="41"/>
      <c r="E131" s="41"/>
      <c r="F131" s="83"/>
      <c r="G131" s="61"/>
    </row>
    <row r="132" spans="1:7" ht="13.5" thickBot="1">
      <c r="A132" s="80" t="s">
        <v>207</v>
      </c>
      <c r="B132" s="545" t="str">
        <f>Planilha!C26</f>
        <v>REMOÇÃO DE LOUÇAS, DE FORMA MANUAL, SEM REAPROVEITAMENTO. AF_12/2017. LAVATÓRIO E VASO</v>
      </c>
      <c r="C132" s="546"/>
      <c r="D132" s="546"/>
      <c r="E132" s="547"/>
      <c r="F132" s="81">
        <f>D141</f>
        <v>6</v>
      </c>
      <c r="G132" s="227" t="s">
        <v>106</v>
      </c>
    </row>
    <row r="133" spans="1:7" ht="12.75">
      <c r="A133" s="65"/>
      <c r="B133" s="226"/>
      <c r="C133" s="226"/>
      <c r="D133" s="226"/>
      <c r="E133" s="196"/>
      <c r="F133" s="66"/>
      <c r="G133" s="93"/>
    </row>
    <row r="134" spans="1:7" ht="12.75">
      <c r="A134" s="479"/>
      <c r="B134" s="198" t="s">
        <v>20</v>
      </c>
      <c r="C134" s="207" t="s">
        <v>6</v>
      </c>
      <c r="D134" s="198" t="s">
        <v>24</v>
      </c>
      <c r="E134" s="52"/>
      <c r="F134" s="45"/>
      <c r="G134" s="90"/>
    </row>
    <row r="135" spans="1:7" ht="12.75">
      <c r="A135" s="573"/>
      <c r="B135" s="88" t="s">
        <v>221</v>
      </c>
      <c r="C135" s="89" t="s">
        <v>253</v>
      </c>
      <c r="D135" s="91">
        <v>1</v>
      </c>
      <c r="E135" s="52"/>
      <c r="F135" s="73"/>
      <c r="G135" s="90"/>
    </row>
    <row r="136" spans="1:7" ht="12.75">
      <c r="A136" s="573"/>
      <c r="B136" s="106" t="s">
        <v>221</v>
      </c>
      <c r="C136" s="107" t="s">
        <v>259</v>
      </c>
      <c r="D136" s="91">
        <v>1</v>
      </c>
      <c r="E136" s="52"/>
      <c r="F136" s="41"/>
      <c r="G136" s="90"/>
    </row>
    <row r="137" spans="1:8" ht="12.75">
      <c r="A137" s="573"/>
      <c r="B137" s="106" t="s">
        <v>244</v>
      </c>
      <c r="C137" s="107" t="s">
        <v>253</v>
      </c>
      <c r="D137" s="91">
        <v>1</v>
      </c>
      <c r="E137" s="52"/>
      <c r="F137" s="41"/>
      <c r="G137" s="90"/>
      <c r="H137" s="52"/>
    </row>
    <row r="138" spans="1:7" ht="12.75">
      <c r="A138" s="573"/>
      <c r="B138" s="106" t="s">
        <v>244</v>
      </c>
      <c r="C138" s="91" t="s">
        <v>259</v>
      </c>
      <c r="D138" s="84">
        <v>1</v>
      </c>
      <c r="E138" s="52"/>
      <c r="F138" s="41"/>
      <c r="G138" s="90"/>
    </row>
    <row r="139" spans="1:7" ht="12.75">
      <c r="A139" s="573"/>
      <c r="B139" s="76" t="s">
        <v>530</v>
      </c>
      <c r="C139" s="89" t="s">
        <v>253</v>
      </c>
      <c r="D139" s="84">
        <v>1</v>
      </c>
      <c r="E139" s="52"/>
      <c r="F139" s="41"/>
      <c r="G139" s="90"/>
    </row>
    <row r="140" spans="1:8" ht="13.5" thickBot="1">
      <c r="A140" s="573"/>
      <c r="B140" s="76" t="s">
        <v>530</v>
      </c>
      <c r="C140" s="91" t="s">
        <v>259</v>
      </c>
      <c r="D140" s="84">
        <v>1</v>
      </c>
      <c r="E140" s="52"/>
      <c r="F140" s="41"/>
      <c r="G140" s="90"/>
      <c r="H140" s="52"/>
    </row>
    <row r="141" spans="1:7" ht="13.5" thickBot="1">
      <c r="A141" s="573"/>
      <c r="B141" s="72"/>
      <c r="C141" s="87" t="s">
        <v>2</v>
      </c>
      <c r="D141" s="223">
        <f>SUM(D135:D140)</f>
        <v>6</v>
      </c>
      <c r="E141" s="52"/>
      <c r="F141" s="52"/>
      <c r="G141" s="94"/>
    </row>
    <row r="142" spans="1:7" ht="13.5" thickBot="1">
      <c r="A142" s="477"/>
      <c r="B142" s="70"/>
      <c r="C142" s="77"/>
      <c r="D142" s="77"/>
      <c r="E142" s="225"/>
      <c r="F142" s="83"/>
      <c r="G142" s="94"/>
    </row>
    <row r="143" spans="1:7" ht="13.5" thickBot="1">
      <c r="A143" s="80" t="s">
        <v>209</v>
      </c>
      <c r="B143" s="579" t="str">
        <f>Planilha!C27</f>
        <v>REMOÇÃO DE METAIS SANITÁRIOS, DE FORMA MANUAL, SEM REAPROVEITAMENTO. AF_12/2017</v>
      </c>
      <c r="C143" s="580"/>
      <c r="D143" s="580"/>
      <c r="E143" s="580"/>
      <c r="F143" s="330">
        <f>D153</f>
        <v>7</v>
      </c>
      <c r="G143" s="227" t="s">
        <v>106</v>
      </c>
    </row>
    <row r="144" spans="1:7" ht="12.75">
      <c r="A144" s="224"/>
      <c r="B144" s="34"/>
      <c r="C144" s="34"/>
      <c r="D144" s="34"/>
      <c r="E144" s="45"/>
      <c r="F144" s="34"/>
      <c r="G144" s="35"/>
    </row>
    <row r="145" spans="1:7" ht="12.75">
      <c r="A145" s="54"/>
      <c r="B145" s="198" t="s">
        <v>20</v>
      </c>
      <c r="C145" s="207" t="s">
        <v>6</v>
      </c>
      <c r="D145" s="198" t="s">
        <v>24</v>
      </c>
      <c r="E145" s="45"/>
      <c r="F145" s="34"/>
      <c r="G145" s="35"/>
    </row>
    <row r="146" spans="1:7" ht="12.75">
      <c r="A146" s="224"/>
      <c r="B146" s="88" t="s">
        <v>221</v>
      </c>
      <c r="C146" s="91" t="s">
        <v>260</v>
      </c>
      <c r="D146" s="91">
        <v>1</v>
      </c>
      <c r="E146" s="45"/>
      <c r="F146" s="34"/>
      <c r="G146" s="35"/>
    </row>
    <row r="147" spans="1:7" ht="12.75">
      <c r="A147" s="224"/>
      <c r="B147" s="106" t="s">
        <v>244</v>
      </c>
      <c r="C147" s="107" t="s">
        <v>261</v>
      </c>
      <c r="D147" s="91">
        <v>1</v>
      </c>
      <c r="E147" s="45"/>
      <c r="F147" s="34"/>
      <c r="G147" s="35"/>
    </row>
    <row r="148" spans="1:7" ht="12.75">
      <c r="A148" s="224"/>
      <c r="B148" s="106" t="s">
        <v>244</v>
      </c>
      <c r="C148" s="107" t="s">
        <v>262</v>
      </c>
      <c r="D148" s="91">
        <v>1</v>
      </c>
      <c r="E148" s="45"/>
      <c r="F148" s="34"/>
      <c r="G148" s="35"/>
    </row>
    <row r="149" spans="1:7" ht="12.75">
      <c r="A149" s="224"/>
      <c r="B149" s="106" t="s">
        <v>244</v>
      </c>
      <c r="C149" s="86" t="s">
        <v>260</v>
      </c>
      <c r="D149" s="84">
        <v>1</v>
      </c>
      <c r="E149" s="45"/>
      <c r="F149" s="34"/>
      <c r="G149" s="35"/>
    </row>
    <row r="150" spans="1:7" ht="12.75">
      <c r="A150" s="224"/>
      <c r="B150" s="76" t="s">
        <v>530</v>
      </c>
      <c r="C150" s="107" t="s">
        <v>261</v>
      </c>
      <c r="D150" s="84">
        <v>1</v>
      </c>
      <c r="E150" s="45"/>
      <c r="F150" s="34"/>
      <c r="G150" s="35"/>
    </row>
    <row r="151" spans="1:7" ht="12.75">
      <c r="A151" s="224"/>
      <c r="B151" s="76" t="s">
        <v>530</v>
      </c>
      <c r="C151" s="107" t="s">
        <v>262</v>
      </c>
      <c r="D151" s="84">
        <v>1</v>
      </c>
      <c r="E151" s="45"/>
      <c r="F151" s="34"/>
      <c r="G151" s="35"/>
    </row>
    <row r="152" spans="1:7" ht="13.5" thickBot="1">
      <c r="A152" s="224"/>
      <c r="B152" s="76" t="s">
        <v>530</v>
      </c>
      <c r="C152" s="107" t="s">
        <v>260</v>
      </c>
      <c r="D152" s="84">
        <v>1</v>
      </c>
      <c r="E152" s="45"/>
      <c r="F152" s="34"/>
      <c r="G152" s="35"/>
    </row>
    <row r="153" spans="1:7" ht="13.5" thickBot="1">
      <c r="A153" s="224"/>
      <c r="B153" s="70"/>
      <c r="C153" s="202" t="s">
        <v>2</v>
      </c>
      <c r="D153" s="410">
        <f>SUM(D146:D152)</f>
        <v>7</v>
      </c>
      <c r="E153" s="45"/>
      <c r="F153" s="34"/>
      <c r="G153" s="35"/>
    </row>
    <row r="154" spans="1:7" ht="13.5" thickBot="1">
      <c r="A154" s="224"/>
      <c r="B154" s="70"/>
      <c r="C154" s="45"/>
      <c r="D154" s="73"/>
      <c r="E154" s="45"/>
      <c r="F154" s="34"/>
      <c r="G154" s="35"/>
    </row>
    <row r="155" spans="1:7" ht="13.5" thickBot="1">
      <c r="A155" s="80" t="s">
        <v>213</v>
      </c>
      <c r="B155" s="570" t="str">
        <f>Planilha!C28</f>
        <v>REMOÇÃO DE FORROS DE DRYWALL, PVC E FIBROMINERAL, DE FORMA MANUAL, SEM REAPROVEITAMENTO. AF_12/2017</v>
      </c>
      <c r="C155" s="571"/>
      <c r="D155" s="571"/>
      <c r="E155" s="572"/>
      <c r="F155" s="81">
        <f>E176</f>
        <v>175.36</v>
      </c>
      <c r="G155" s="80" t="s">
        <v>107</v>
      </c>
    </row>
    <row r="156" spans="1:7" ht="12.75">
      <c r="A156" s="224"/>
      <c r="B156" s="70"/>
      <c r="C156" s="45"/>
      <c r="D156" s="73"/>
      <c r="E156" s="45"/>
      <c r="F156" s="34"/>
      <c r="G156" s="35"/>
    </row>
    <row r="157" spans="1:7" ht="12.75">
      <c r="A157" s="224"/>
      <c r="B157" s="114" t="s">
        <v>20</v>
      </c>
      <c r="C157" s="114" t="s">
        <v>21</v>
      </c>
      <c r="D157" s="114" t="s">
        <v>26</v>
      </c>
      <c r="E157" s="114" t="s">
        <v>23</v>
      </c>
      <c r="F157" s="34"/>
      <c r="G157" s="35"/>
    </row>
    <row r="158" spans="1:7" ht="12.75">
      <c r="A158" s="224"/>
      <c r="B158" s="106" t="s">
        <v>226</v>
      </c>
      <c r="C158" s="108">
        <v>2.45</v>
      </c>
      <c r="D158" s="108">
        <v>3.25</v>
      </c>
      <c r="E158" s="108">
        <f>C158*D158</f>
        <v>7.96</v>
      </c>
      <c r="F158" s="34"/>
      <c r="G158" s="35"/>
    </row>
    <row r="159" spans="1:7" ht="12.75">
      <c r="A159" s="224"/>
      <c r="B159" s="106" t="s">
        <v>229</v>
      </c>
      <c r="C159" s="108">
        <v>1.75</v>
      </c>
      <c r="D159" s="108">
        <v>3.25</v>
      </c>
      <c r="E159" s="108">
        <f aca="true" t="shared" si="4" ref="E159:E174">C159*D159</f>
        <v>5.69</v>
      </c>
      <c r="F159" s="34"/>
      <c r="G159" s="35"/>
    </row>
    <row r="160" spans="1:7" ht="12.75">
      <c r="A160" s="224"/>
      <c r="B160" s="92" t="s">
        <v>230</v>
      </c>
      <c r="C160" s="108">
        <v>1.8</v>
      </c>
      <c r="D160" s="108">
        <v>3.25</v>
      </c>
      <c r="E160" s="108">
        <f t="shared" si="4"/>
        <v>5.85</v>
      </c>
      <c r="F160" s="34"/>
      <c r="G160" s="35"/>
    </row>
    <row r="161" spans="1:7" ht="12.75">
      <c r="A161" s="224"/>
      <c r="B161" s="106" t="s">
        <v>239</v>
      </c>
      <c r="C161" s="108">
        <v>3.05</v>
      </c>
      <c r="D161" s="108">
        <v>3.25</v>
      </c>
      <c r="E161" s="108">
        <f t="shared" si="4"/>
        <v>9.91</v>
      </c>
      <c r="F161" s="34"/>
      <c r="G161" s="35"/>
    </row>
    <row r="162" spans="1:10" ht="13.5" customHeight="1">
      <c r="A162" s="224"/>
      <c r="B162" s="106" t="s">
        <v>223</v>
      </c>
      <c r="C162" s="108">
        <v>2.9</v>
      </c>
      <c r="D162" s="108">
        <v>3.25</v>
      </c>
      <c r="E162" s="108">
        <f t="shared" si="4"/>
        <v>9.43</v>
      </c>
      <c r="F162" s="34"/>
      <c r="G162" s="35"/>
      <c r="J162" s="220"/>
    </row>
    <row r="163" spans="1:7" ht="12.75">
      <c r="A163" s="224"/>
      <c r="B163" s="92" t="s">
        <v>224</v>
      </c>
      <c r="C163" s="92">
        <v>2.6</v>
      </c>
      <c r="D163" s="92">
        <v>6.1</v>
      </c>
      <c r="E163" s="112">
        <f t="shared" si="4"/>
        <v>15.86</v>
      </c>
      <c r="F163" s="52"/>
      <c r="G163" s="55"/>
    </row>
    <row r="164" spans="1:7" ht="12.75">
      <c r="A164" s="224"/>
      <c r="B164" s="92" t="s">
        <v>530</v>
      </c>
      <c r="C164" s="92">
        <v>3.3</v>
      </c>
      <c r="D164" s="92">
        <v>1.45</v>
      </c>
      <c r="E164" s="112">
        <f t="shared" si="4"/>
        <v>4.79</v>
      </c>
      <c r="F164" s="34"/>
      <c r="G164" s="35"/>
    </row>
    <row r="165" spans="1:7" ht="12.75">
      <c r="A165" s="224"/>
      <c r="B165" s="92" t="s">
        <v>240</v>
      </c>
      <c r="C165" s="92">
        <v>3.3</v>
      </c>
      <c r="D165" s="92">
        <v>7.6</v>
      </c>
      <c r="E165" s="112">
        <f t="shared" si="4"/>
        <v>25.08</v>
      </c>
      <c r="F165" s="34"/>
      <c r="G165" s="35"/>
    </row>
    <row r="166" spans="1:7" ht="12.75">
      <c r="A166" s="224"/>
      <c r="B166" s="92" t="s">
        <v>225</v>
      </c>
      <c r="C166" s="92">
        <v>4.5</v>
      </c>
      <c r="D166" s="92">
        <v>2.6</v>
      </c>
      <c r="E166" s="112">
        <f t="shared" si="4"/>
        <v>11.7</v>
      </c>
      <c r="F166" s="34"/>
      <c r="G166" s="35"/>
    </row>
    <row r="167" spans="1:7" ht="12.75">
      <c r="A167" s="224"/>
      <c r="B167" s="92" t="s">
        <v>536</v>
      </c>
      <c r="C167" s="92">
        <v>1.3</v>
      </c>
      <c r="D167" s="92">
        <v>2.6</v>
      </c>
      <c r="E167" s="112">
        <f t="shared" si="4"/>
        <v>3.38</v>
      </c>
      <c r="F167" s="34"/>
      <c r="G167" s="35"/>
    </row>
    <row r="168" spans="1:7" ht="12.75">
      <c r="A168" s="224"/>
      <c r="B168" s="92" t="s">
        <v>219</v>
      </c>
      <c r="C168" s="92">
        <v>3.35</v>
      </c>
      <c r="D168" s="92">
        <v>2.75</v>
      </c>
      <c r="E168" s="112">
        <f t="shared" si="4"/>
        <v>9.21</v>
      </c>
      <c r="F168" s="34"/>
      <c r="G168" s="35"/>
    </row>
    <row r="169" spans="1:9" ht="12.75">
      <c r="A169" s="224"/>
      <c r="B169" s="92" t="s">
        <v>241</v>
      </c>
      <c r="C169" s="92">
        <v>9.15</v>
      </c>
      <c r="D169" s="92">
        <v>1.2</v>
      </c>
      <c r="E169" s="112">
        <f t="shared" si="4"/>
        <v>10.98</v>
      </c>
      <c r="F169" s="34"/>
      <c r="G169" s="35"/>
      <c r="H169" s="34"/>
      <c r="I169" s="35"/>
    </row>
    <row r="170" spans="1:7" ht="12.75">
      <c r="A170" s="224"/>
      <c r="B170" s="92" t="s">
        <v>242</v>
      </c>
      <c r="C170" s="92">
        <v>6.7</v>
      </c>
      <c r="D170" s="92">
        <v>2.75</v>
      </c>
      <c r="E170" s="112">
        <f t="shared" si="4"/>
        <v>18.43</v>
      </c>
      <c r="F170" s="34"/>
      <c r="G170" s="35"/>
    </row>
    <row r="171" spans="1:7" ht="12.75">
      <c r="A171" s="224"/>
      <c r="B171" s="92" t="s">
        <v>233</v>
      </c>
      <c r="C171" s="92">
        <v>3.05</v>
      </c>
      <c r="D171" s="92">
        <v>1.6</v>
      </c>
      <c r="E171" s="112">
        <f t="shared" si="4"/>
        <v>4.88</v>
      </c>
      <c r="F171" s="34"/>
      <c r="G171" s="35"/>
    </row>
    <row r="172" spans="1:7" ht="12.75">
      <c r="A172" s="224"/>
      <c r="B172" s="92" t="s">
        <v>243</v>
      </c>
      <c r="C172" s="92">
        <v>3.05</v>
      </c>
      <c r="D172" s="92">
        <v>2.4</v>
      </c>
      <c r="E172" s="112">
        <f t="shared" si="4"/>
        <v>7.32</v>
      </c>
      <c r="F172" s="34"/>
      <c r="G172" s="35"/>
    </row>
    <row r="173" spans="1:7" ht="12.75">
      <c r="A173" s="224"/>
      <c r="B173" s="92" t="s">
        <v>234</v>
      </c>
      <c r="C173" s="92">
        <v>3.6</v>
      </c>
      <c r="D173" s="92">
        <v>4.15</v>
      </c>
      <c r="E173" s="112">
        <f t="shared" si="4"/>
        <v>14.94</v>
      </c>
      <c r="F173" s="34"/>
      <c r="G173" s="35"/>
    </row>
    <row r="174" spans="1:7" ht="12.75">
      <c r="A174" s="224"/>
      <c r="B174" s="92" t="s">
        <v>235</v>
      </c>
      <c r="C174" s="92">
        <v>1.2</v>
      </c>
      <c r="D174" s="92">
        <v>1.2</v>
      </c>
      <c r="E174" s="211">
        <f t="shared" si="4"/>
        <v>1.44</v>
      </c>
      <c r="F174" s="34"/>
      <c r="G174" s="35"/>
    </row>
    <row r="175" spans="1:7" ht="13.5" thickBot="1">
      <c r="A175" s="224"/>
      <c r="B175" s="92" t="s">
        <v>244</v>
      </c>
      <c r="C175" s="92">
        <v>2.05</v>
      </c>
      <c r="D175" s="92">
        <v>4.15</v>
      </c>
      <c r="E175" s="211">
        <f>C175*D175</f>
        <v>8.51</v>
      </c>
      <c r="F175" s="34"/>
      <c r="G175" s="35"/>
    </row>
    <row r="176" spans="1:7" ht="13.5" thickBot="1">
      <c r="A176" s="224"/>
      <c r="B176" s="70"/>
      <c r="C176" s="45"/>
      <c r="D176" s="202" t="s">
        <v>2</v>
      </c>
      <c r="E176" s="212">
        <f>SUM(E158:E175)</f>
        <v>175.36</v>
      </c>
      <c r="F176" s="34"/>
      <c r="G176" s="35"/>
    </row>
    <row r="177" spans="1:7" ht="13.5" thickBot="1">
      <c r="A177" s="224"/>
      <c r="B177" s="70"/>
      <c r="C177" s="45"/>
      <c r="D177" s="73"/>
      <c r="E177" s="45"/>
      <c r="F177" s="34"/>
      <c r="G177" s="35"/>
    </row>
    <row r="178" spans="1:7" ht="13.5" thickBot="1">
      <c r="A178" s="80" t="s">
        <v>618</v>
      </c>
      <c r="B178" s="570" t="str">
        <f>Planilha!C29</f>
        <v>REMOÇÃO DE TRAMA METÁLICA OU DE MADEIRA PARA FORRO, DE FORMA MANUAL, SEM REAPROVEITAMENTO. AF_12/2017</v>
      </c>
      <c r="C178" s="571"/>
      <c r="D178" s="571"/>
      <c r="E178" s="572"/>
      <c r="F178" s="81">
        <f>E199</f>
        <v>175.36</v>
      </c>
      <c r="G178" s="80" t="s">
        <v>107</v>
      </c>
    </row>
    <row r="179" spans="1:7" ht="12.75">
      <c r="A179" s="224"/>
      <c r="B179" s="228"/>
      <c r="C179" s="228"/>
      <c r="D179" s="228"/>
      <c r="E179" s="228"/>
      <c r="F179" s="34"/>
      <c r="G179" s="35"/>
    </row>
    <row r="180" spans="1:7" ht="12.75">
      <c r="A180" s="224"/>
      <c r="B180" s="114" t="s">
        <v>20</v>
      </c>
      <c r="C180" s="114" t="s">
        <v>21</v>
      </c>
      <c r="D180" s="114" t="s">
        <v>26</v>
      </c>
      <c r="E180" s="114" t="s">
        <v>23</v>
      </c>
      <c r="F180" s="34"/>
      <c r="G180" s="35"/>
    </row>
    <row r="181" spans="1:7" ht="12.75">
      <c r="A181" s="224"/>
      <c r="B181" s="106" t="s">
        <v>226</v>
      </c>
      <c r="C181" s="108">
        <v>2.45</v>
      </c>
      <c r="D181" s="108">
        <v>3.25</v>
      </c>
      <c r="E181" s="108">
        <f>C181*D181</f>
        <v>7.96</v>
      </c>
      <c r="F181" s="34"/>
      <c r="G181" s="35"/>
    </row>
    <row r="182" spans="1:7" ht="12.75">
      <c r="A182" s="224"/>
      <c r="B182" s="106" t="s">
        <v>229</v>
      </c>
      <c r="C182" s="108">
        <v>1.75</v>
      </c>
      <c r="D182" s="108">
        <v>3.25</v>
      </c>
      <c r="E182" s="108">
        <f aca="true" t="shared" si="5" ref="E182:E197">C182*D182</f>
        <v>5.69</v>
      </c>
      <c r="F182" s="34"/>
      <c r="G182" s="35"/>
    </row>
    <row r="183" spans="1:7" ht="12.75">
      <c r="A183" s="224"/>
      <c r="B183" s="92" t="s">
        <v>230</v>
      </c>
      <c r="C183" s="108">
        <v>1.8</v>
      </c>
      <c r="D183" s="108">
        <v>3.25</v>
      </c>
      <c r="E183" s="108">
        <f t="shared" si="5"/>
        <v>5.85</v>
      </c>
      <c r="F183" s="34"/>
      <c r="G183" s="35"/>
    </row>
    <row r="184" spans="1:7" ht="12.75">
      <c r="A184" s="224"/>
      <c r="B184" s="106" t="s">
        <v>239</v>
      </c>
      <c r="C184" s="108">
        <v>3.05</v>
      </c>
      <c r="D184" s="108">
        <v>3.25</v>
      </c>
      <c r="E184" s="108">
        <f t="shared" si="5"/>
        <v>9.91</v>
      </c>
      <c r="F184" s="34"/>
      <c r="G184" s="35"/>
    </row>
    <row r="185" spans="1:7" ht="12.75">
      <c r="A185" s="224"/>
      <c r="B185" s="106" t="s">
        <v>223</v>
      </c>
      <c r="C185" s="108">
        <v>2.9</v>
      </c>
      <c r="D185" s="108">
        <v>3.25</v>
      </c>
      <c r="E185" s="108">
        <f t="shared" si="5"/>
        <v>9.43</v>
      </c>
      <c r="F185" s="34"/>
      <c r="G185" s="35"/>
    </row>
    <row r="186" spans="1:7" ht="12.75">
      <c r="A186" s="224"/>
      <c r="B186" s="92" t="s">
        <v>224</v>
      </c>
      <c r="C186" s="92">
        <v>2.6</v>
      </c>
      <c r="D186" s="92">
        <v>6.1</v>
      </c>
      <c r="E186" s="112">
        <f t="shared" si="5"/>
        <v>15.86</v>
      </c>
      <c r="F186" s="34"/>
      <c r="G186" s="35"/>
    </row>
    <row r="187" spans="1:7" ht="12.75">
      <c r="A187" s="224"/>
      <c r="B187" s="92" t="s">
        <v>530</v>
      </c>
      <c r="C187" s="92">
        <v>3.3</v>
      </c>
      <c r="D187" s="92">
        <v>1.45</v>
      </c>
      <c r="E187" s="112">
        <f t="shared" si="5"/>
        <v>4.79</v>
      </c>
      <c r="F187" s="34"/>
      <c r="G187" s="35"/>
    </row>
    <row r="188" spans="1:7" ht="12.75">
      <c r="A188" s="224"/>
      <c r="B188" s="92" t="s">
        <v>240</v>
      </c>
      <c r="C188" s="92">
        <v>3.3</v>
      </c>
      <c r="D188" s="92">
        <v>7.6</v>
      </c>
      <c r="E188" s="112">
        <f t="shared" si="5"/>
        <v>25.08</v>
      </c>
      <c r="F188" s="34"/>
      <c r="G188" s="35"/>
    </row>
    <row r="189" spans="1:7" ht="12.75">
      <c r="A189" s="224"/>
      <c r="B189" s="92" t="s">
        <v>225</v>
      </c>
      <c r="C189" s="92">
        <v>4.5</v>
      </c>
      <c r="D189" s="92">
        <v>2.6</v>
      </c>
      <c r="E189" s="112">
        <f t="shared" si="5"/>
        <v>11.7</v>
      </c>
      <c r="F189" s="34"/>
      <c r="G189" s="35"/>
    </row>
    <row r="190" spans="1:7" ht="12.75">
      <c r="A190" s="224"/>
      <c r="B190" s="92" t="s">
        <v>536</v>
      </c>
      <c r="C190" s="92">
        <v>1.3</v>
      </c>
      <c r="D190" s="92">
        <v>2.6</v>
      </c>
      <c r="E190" s="112">
        <f t="shared" si="5"/>
        <v>3.38</v>
      </c>
      <c r="F190" s="34"/>
      <c r="G190" s="35"/>
    </row>
    <row r="191" spans="1:8" ht="12.75">
      <c r="A191" s="224"/>
      <c r="B191" s="92" t="s">
        <v>219</v>
      </c>
      <c r="C191" s="92">
        <v>3.35</v>
      </c>
      <c r="D191" s="92">
        <v>2.75</v>
      </c>
      <c r="E191" s="112">
        <f t="shared" si="5"/>
        <v>9.21</v>
      </c>
      <c r="F191" s="34"/>
      <c r="G191" s="35"/>
      <c r="H191" s="220"/>
    </row>
    <row r="192" spans="1:7" ht="12.75">
      <c r="A192" s="224"/>
      <c r="B192" s="92" t="s">
        <v>241</v>
      </c>
      <c r="C192" s="92">
        <v>9.15</v>
      </c>
      <c r="D192" s="92">
        <v>1.2</v>
      </c>
      <c r="E192" s="112">
        <f t="shared" si="5"/>
        <v>10.98</v>
      </c>
      <c r="F192" s="34"/>
      <c r="G192" s="35"/>
    </row>
    <row r="193" spans="1:7" ht="12.75">
      <c r="A193" s="224"/>
      <c r="B193" s="92" t="s">
        <v>242</v>
      </c>
      <c r="C193" s="92">
        <v>6.7</v>
      </c>
      <c r="D193" s="92">
        <v>2.75</v>
      </c>
      <c r="E193" s="112">
        <f t="shared" si="5"/>
        <v>18.43</v>
      </c>
      <c r="F193" s="34"/>
      <c r="G193" s="35"/>
    </row>
    <row r="194" spans="1:7" ht="12.75">
      <c r="A194" s="224"/>
      <c r="B194" s="92" t="s">
        <v>233</v>
      </c>
      <c r="C194" s="92">
        <v>3.05</v>
      </c>
      <c r="D194" s="92">
        <v>1.6</v>
      </c>
      <c r="E194" s="112">
        <f t="shared" si="5"/>
        <v>4.88</v>
      </c>
      <c r="F194" s="34"/>
      <c r="G194" s="35"/>
    </row>
    <row r="195" spans="1:7" ht="12.75">
      <c r="A195" s="224"/>
      <c r="B195" s="92" t="s">
        <v>243</v>
      </c>
      <c r="C195" s="92">
        <v>3.05</v>
      </c>
      <c r="D195" s="92">
        <v>2.4</v>
      </c>
      <c r="E195" s="112">
        <f t="shared" si="5"/>
        <v>7.32</v>
      </c>
      <c r="F195" s="34"/>
      <c r="G195" s="35"/>
    </row>
    <row r="196" spans="1:7" ht="12.75">
      <c r="A196" s="224"/>
      <c r="B196" s="92" t="s">
        <v>234</v>
      </c>
      <c r="C196" s="92">
        <v>3.6</v>
      </c>
      <c r="D196" s="92">
        <v>4.15</v>
      </c>
      <c r="E196" s="112">
        <f t="shared" si="5"/>
        <v>14.94</v>
      </c>
      <c r="F196" s="34"/>
      <c r="G196" s="35"/>
    </row>
    <row r="197" spans="1:7" ht="12.75">
      <c r="A197" s="224"/>
      <c r="B197" s="92" t="s">
        <v>235</v>
      </c>
      <c r="C197" s="92">
        <v>1.2</v>
      </c>
      <c r="D197" s="92">
        <v>1.2</v>
      </c>
      <c r="E197" s="211">
        <f t="shared" si="5"/>
        <v>1.44</v>
      </c>
      <c r="F197" s="34"/>
      <c r="G197" s="35"/>
    </row>
    <row r="198" spans="1:7" ht="13.5" thickBot="1">
      <c r="A198" s="224"/>
      <c r="B198" s="92" t="s">
        <v>244</v>
      </c>
      <c r="C198" s="92">
        <v>2.05</v>
      </c>
      <c r="D198" s="92">
        <v>4.15</v>
      </c>
      <c r="E198" s="211">
        <f>C198*D198</f>
        <v>8.51</v>
      </c>
      <c r="F198" s="34"/>
      <c r="G198" s="35"/>
    </row>
    <row r="199" spans="1:7" ht="13.5" thickBot="1">
      <c r="A199" s="224"/>
      <c r="B199" s="70"/>
      <c r="C199" s="45"/>
      <c r="D199" s="202" t="s">
        <v>2</v>
      </c>
      <c r="E199" s="212">
        <f>SUM(E181:E198)</f>
        <v>175.36</v>
      </c>
      <c r="F199" s="34"/>
      <c r="G199" s="35"/>
    </row>
    <row r="200" spans="1:7" ht="13.5" thickBot="1">
      <c r="A200" s="224"/>
      <c r="B200" s="70"/>
      <c r="C200" s="45"/>
      <c r="D200" s="37"/>
      <c r="E200" s="34"/>
      <c r="F200" s="52"/>
      <c r="G200" s="35"/>
    </row>
    <row r="201" spans="1:7" ht="13.5" thickBot="1">
      <c r="A201" s="80" t="s">
        <v>619</v>
      </c>
      <c r="B201" s="599" t="str">
        <f>Planilha!C30</f>
        <v>REMOÇÃO MANUAL DE TELHA CERÂMICA, COM REAPROVEITAMENTO, INCLUSIVE AFASTAMENTO E EMPILHAMENTO, EXCLUSIVE TRANSPORTE E RETIRADA DO  MATERIAL REMOVIDO NÃO REAPROVEITÁVEL</v>
      </c>
      <c r="C201" s="600"/>
      <c r="D201" s="600"/>
      <c r="E201" s="601"/>
      <c r="F201" s="81">
        <f>SUM(F209+F217)</f>
        <v>256.23</v>
      </c>
      <c r="G201" s="80" t="s">
        <v>107</v>
      </c>
    </row>
    <row r="202" spans="1:7" ht="12.75">
      <c r="A202" s="224"/>
      <c r="B202" s="70"/>
      <c r="C202" s="70"/>
      <c r="D202" s="70"/>
      <c r="E202" s="70"/>
      <c r="F202" s="49"/>
      <c r="G202" s="35"/>
    </row>
    <row r="203" spans="1:7" ht="12.75">
      <c r="A203" s="224"/>
      <c r="B203" s="70"/>
      <c r="C203" s="588" t="s">
        <v>263</v>
      </c>
      <c r="D203" s="588"/>
      <c r="E203" s="588"/>
      <c r="F203" s="588"/>
      <c r="G203" s="35"/>
    </row>
    <row r="204" spans="1:7" ht="12.75">
      <c r="A204" s="224"/>
      <c r="B204" s="70"/>
      <c r="C204" s="475" t="s">
        <v>268</v>
      </c>
      <c r="D204" s="475" t="s">
        <v>227</v>
      </c>
      <c r="E204" s="475" t="s">
        <v>264</v>
      </c>
      <c r="F204" s="203" t="s">
        <v>265</v>
      </c>
      <c r="G204" s="35"/>
    </row>
    <row r="205" spans="1:7" ht="12.75">
      <c r="A205" s="224"/>
      <c r="B205" s="70"/>
      <c r="C205" s="106">
        <v>9.2</v>
      </c>
      <c r="D205" s="106">
        <v>22.35</v>
      </c>
      <c r="E205" s="106">
        <v>0.5</v>
      </c>
      <c r="F205" s="230">
        <f>(((C205+(E205*2))*((D205+(E205*2)))))</f>
        <v>238.17</v>
      </c>
      <c r="G205" s="35"/>
    </row>
    <row r="206" spans="1:7" ht="12.75">
      <c r="A206" s="224"/>
      <c r="B206" s="70"/>
      <c r="C206" s="70"/>
      <c r="D206" s="70"/>
      <c r="E206" s="70"/>
      <c r="F206" s="34"/>
      <c r="G206" s="35"/>
    </row>
    <row r="207" spans="1:7" ht="12.75">
      <c r="A207" s="224"/>
      <c r="B207" s="70"/>
      <c r="C207" s="70"/>
      <c r="D207" s="475" t="s">
        <v>37</v>
      </c>
      <c r="E207" s="475" t="s">
        <v>266</v>
      </c>
      <c r="F207" s="197"/>
      <c r="G207" s="35"/>
    </row>
    <row r="208" spans="1:7" ht="13.5" thickBot="1">
      <c r="A208" s="224"/>
      <c r="B208" s="70"/>
      <c r="C208" s="70"/>
      <c r="D208" s="232">
        <v>0.3</v>
      </c>
      <c r="E208" s="76">
        <v>1.044</v>
      </c>
      <c r="F208" s="200"/>
      <c r="G208" s="35"/>
    </row>
    <row r="209" spans="1:7" ht="13.5" thickBot="1">
      <c r="A209" s="224"/>
      <c r="B209" s="70"/>
      <c r="C209" s="70"/>
      <c r="D209" s="231"/>
      <c r="E209" s="233" t="s">
        <v>2</v>
      </c>
      <c r="F209" s="219">
        <f>F205*E208</f>
        <v>248.65</v>
      </c>
      <c r="G209" s="35"/>
    </row>
    <row r="210" spans="1:7" ht="12.75">
      <c r="A210" s="224"/>
      <c r="B210" s="70"/>
      <c r="C210" s="70"/>
      <c r="D210" s="231"/>
      <c r="E210" s="269"/>
      <c r="F210" s="270"/>
      <c r="G210" s="35"/>
    </row>
    <row r="211" spans="1:7" ht="12.75">
      <c r="A211" s="224"/>
      <c r="B211" s="70"/>
      <c r="C211" s="588" t="s">
        <v>251</v>
      </c>
      <c r="D211" s="588"/>
      <c r="E211" s="588"/>
      <c r="F211" s="588"/>
      <c r="G211" s="35"/>
    </row>
    <row r="212" spans="1:7" ht="12.75">
      <c r="A212" s="224"/>
      <c r="B212" s="70"/>
      <c r="C212" s="475" t="s">
        <v>268</v>
      </c>
      <c r="D212" s="475" t="s">
        <v>227</v>
      </c>
      <c r="E212" s="475" t="s">
        <v>264</v>
      </c>
      <c r="F212" s="203" t="s">
        <v>265</v>
      </c>
      <c r="G212" s="35"/>
    </row>
    <row r="213" spans="1:7" ht="12.75">
      <c r="A213" s="224"/>
      <c r="B213" s="70"/>
      <c r="C213" s="106">
        <v>1.2</v>
      </c>
      <c r="D213" s="106">
        <v>2.3</v>
      </c>
      <c r="E213" s="106">
        <v>0.5</v>
      </c>
      <c r="F213" s="230">
        <f>(((C213+(E213*2))*((D213+(E213*2)))))</f>
        <v>7.26</v>
      </c>
      <c r="G213" s="35"/>
    </row>
    <row r="214" spans="1:7" ht="12.75">
      <c r="A214" s="224"/>
      <c r="B214" s="70"/>
      <c r="C214" s="70"/>
      <c r="D214" s="231"/>
      <c r="E214" s="70"/>
      <c r="F214" s="34"/>
      <c r="G214" s="35"/>
    </row>
    <row r="215" spans="1:7" ht="12.75">
      <c r="A215" s="224"/>
      <c r="B215" s="70"/>
      <c r="C215" s="70"/>
      <c r="D215" s="475" t="s">
        <v>37</v>
      </c>
      <c r="E215" s="475" t="s">
        <v>266</v>
      </c>
      <c r="F215" s="197"/>
      <c r="G215" s="35"/>
    </row>
    <row r="216" spans="1:7" ht="13.5" thickBot="1">
      <c r="A216" s="224"/>
      <c r="B216" s="70"/>
      <c r="C216" s="70"/>
      <c r="D216" s="232">
        <v>0.3</v>
      </c>
      <c r="E216" s="76">
        <v>1.044</v>
      </c>
      <c r="F216" s="200"/>
      <c r="G216" s="35"/>
    </row>
    <row r="217" spans="1:7" ht="13.5" thickBot="1">
      <c r="A217" s="224"/>
      <c r="B217" s="70"/>
      <c r="C217" s="70"/>
      <c r="D217" s="231"/>
      <c r="E217" s="233" t="s">
        <v>2</v>
      </c>
      <c r="F217" s="219">
        <f>F213*E216</f>
        <v>7.58</v>
      </c>
      <c r="G217" s="35"/>
    </row>
    <row r="218" spans="1:7" ht="13.5" thickBot="1">
      <c r="A218" s="224"/>
      <c r="B218" s="52"/>
      <c r="C218" s="481"/>
      <c r="D218" s="481"/>
      <c r="E218" s="481"/>
      <c r="F218" s="34"/>
      <c r="G218" s="35"/>
    </row>
    <row r="219" spans="1:7" ht="13.5" thickBot="1">
      <c r="A219" s="234" t="s">
        <v>620</v>
      </c>
      <c r="B219" s="570" t="str">
        <f>Planilha!C31</f>
        <v>REMOÇÃO MANUAL DE BANCADA DE PEDRA (MÁRMORE, GRANITO, ARDÓSIA, MARMORITE, ETC.), COM REAPROVEITAMENTO, INCLUSIVE RASGO EM ALVENARIA, REMOÇÃO DE ACESSÓRIOS DE FIXAÇÃO, AFASTAMENTO E EMPILHAMENTO, EXCLUSIVE TRANSPORTE E RETIRADA DO MATERIAL REMOVIDO NÃO REAPROVEITÁVEL</v>
      </c>
      <c r="C219" s="571"/>
      <c r="D219" s="571"/>
      <c r="E219" s="572"/>
      <c r="F219" s="80">
        <f>E224</f>
        <v>3.66</v>
      </c>
      <c r="G219" s="227" t="s">
        <v>107</v>
      </c>
    </row>
    <row r="220" spans="1:7" ht="12.75">
      <c r="A220" s="224"/>
      <c r="B220" s="52"/>
      <c r="C220" s="481"/>
      <c r="D220" s="481"/>
      <c r="E220" s="481"/>
      <c r="F220" s="34"/>
      <c r="G220" s="35"/>
    </row>
    <row r="221" spans="1:7" ht="12.75">
      <c r="A221" s="224"/>
      <c r="B221" s="198" t="s">
        <v>20</v>
      </c>
      <c r="C221" s="198" t="s">
        <v>245</v>
      </c>
      <c r="D221" s="209" t="s">
        <v>238</v>
      </c>
      <c r="E221" s="198" t="s">
        <v>246</v>
      </c>
      <c r="F221" s="34"/>
      <c r="G221" s="35"/>
    </row>
    <row r="222" spans="1:7" ht="12.75">
      <c r="A222" s="224"/>
      <c r="B222" s="237" t="s">
        <v>219</v>
      </c>
      <c r="C222" s="92">
        <v>0.6</v>
      </c>
      <c r="D222" s="92">
        <v>3.2</v>
      </c>
      <c r="E222" s="86">
        <f>C222*D222</f>
        <v>1.92</v>
      </c>
      <c r="F222" s="34"/>
      <c r="G222" s="35"/>
    </row>
    <row r="223" spans="1:7" ht="13.5" thickBot="1">
      <c r="A223" s="224"/>
      <c r="B223" s="237" t="s">
        <v>223</v>
      </c>
      <c r="C223" s="92">
        <v>0.6</v>
      </c>
      <c r="D223" s="86">
        <v>2.9</v>
      </c>
      <c r="E223" s="86">
        <f>C223*D223</f>
        <v>1.74</v>
      </c>
      <c r="F223" s="34"/>
      <c r="G223" s="35"/>
    </row>
    <row r="224" spans="1:7" ht="13.5" thickBot="1">
      <c r="A224" s="224"/>
      <c r="B224" s="52"/>
      <c r="C224" s="481"/>
      <c r="D224" s="202" t="s">
        <v>267</v>
      </c>
      <c r="E224" s="202">
        <f>SUM(E222:E223)</f>
        <v>3.66</v>
      </c>
      <c r="F224" s="34"/>
      <c r="G224" s="35"/>
    </row>
    <row r="225" spans="1:7" ht="13.5" thickBot="1">
      <c r="A225" s="33"/>
      <c r="B225" s="34"/>
      <c r="C225" s="34"/>
      <c r="D225" s="481"/>
      <c r="E225" s="37"/>
      <c r="F225" s="34"/>
      <c r="G225" s="35"/>
    </row>
    <row r="226" spans="1:7" ht="25.5" customHeight="1" thickBot="1">
      <c r="A226" s="79" t="s">
        <v>621</v>
      </c>
      <c r="B226" s="567" t="s">
        <v>402</v>
      </c>
      <c r="C226" s="568"/>
      <c r="D226" s="568"/>
      <c r="E226" s="568"/>
      <c r="F226" s="568"/>
      <c r="G226" s="569"/>
    </row>
    <row r="227" spans="1:7" ht="12.75">
      <c r="A227" s="33"/>
      <c r="B227" s="34"/>
      <c r="C227" s="34"/>
      <c r="D227" s="481"/>
      <c r="E227" s="37"/>
      <c r="F227" s="34"/>
      <c r="G227" s="35"/>
    </row>
    <row r="228" spans="1:7" ht="13.5" thickBot="1">
      <c r="A228" s="33"/>
      <c r="B228" s="34"/>
      <c r="C228" s="34"/>
      <c r="D228" s="481"/>
      <c r="E228" s="37"/>
      <c r="F228" s="34"/>
      <c r="G228" s="35"/>
    </row>
    <row r="229" spans="1:7" ht="13.5" thickBot="1">
      <c r="A229" s="80" t="s">
        <v>27</v>
      </c>
      <c r="B229" s="570" t="str">
        <f>Planilha!C33</f>
        <v>ESCAVAÇÃO MANUAL DE VALA COM PROFUNDIDADE MENOR OU IGUAL A 1,5M</v>
      </c>
      <c r="C229" s="571"/>
      <c r="D229" s="571"/>
      <c r="E229" s="572"/>
      <c r="F229" s="81">
        <f>C242</f>
        <v>20.04</v>
      </c>
      <c r="G229" s="80" t="s">
        <v>108</v>
      </c>
    </row>
    <row r="230" spans="1:7" ht="12.75">
      <c r="A230" s="33"/>
      <c r="B230" s="34"/>
      <c r="C230" s="34"/>
      <c r="D230" s="481"/>
      <c r="E230" s="37"/>
      <c r="F230" s="34"/>
      <c r="G230" s="35"/>
    </row>
    <row r="231" spans="1:7" ht="12.75">
      <c r="A231" s="33"/>
      <c r="B231" s="34" t="s">
        <v>487</v>
      </c>
      <c r="C231" s="34"/>
      <c r="D231" s="481"/>
      <c r="E231" s="37"/>
      <c r="F231" s="34"/>
      <c r="G231" s="35"/>
    </row>
    <row r="232" spans="1:7" ht="12.75">
      <c r="A232" s="33"/>
      <c r="B232" s="198" t="s">
        <v>444</v>
      </c>
      <c r="C232" s="198" t="s">
        <v>468</v>
      </c>
      <c r="D232" s="198" t="s">
        <v>24</v>
      </c>
      <c r="E232" s="373" t="s">
        <v>446</v>
      </c>
      <c r="F232" s="374" t="s">
        <v>447</v>
      </c>
      <c r="G232" s="375" t="s">
        <v>448</v>
      </c>
    </row>
    <row r="233" spans="1:7" ht="12.75">
      <c r="A233" s="33"/>
      <c r="B233" s="386" t="s">
        <v>467</v>
      </c>
      <c r="C233" s="387">
        <v>1.15</v>
      </c>
      <c r="D233" s="387">
        <v>6</v>
      </c>
      <c r="E233" s="388">
        <v>1.05</v>
      </c>
      <c r="F233" s="213">
        <f>D233*C233</f>
        <v>6.9</v>
      </c>
      <c r="G233" s="389">
        <f>E233*F233</f>
        <v>7.245</v>
      </c>
    </row>
    <row r="234" spans="1:7" ht="13.5" thickBot="1">
      <c r="A234" s="33"/>
      <c r="B234" s="333" t="s">
        <v>469</v>
      </c>
      <c r="C234" s="390">
        <v>1.37</v>
      </c>
      <c r="D234" s="391">
        <v>4</v>
      </c>
      <c r="E234" s="388">
        <v>1.05</v>
      </c>
      <c r="F234" s="213">
        <f>D234*C234</f>
        <v>5.48</v>
      </c>
      <c r="G234" s="389">
        <f>E234*F234</f>
        <v>5.754</v>
      </c>
    </row>
    <row r="235" spans="1:11" ht="13.5" thickBot="1">
      <c r="A235" s="33"/>
      <c r="B235" s="72"/>
      <c r="C235" s="71"/>
      <c r="D235" s="52"/>
      <c r="E235" s="52"/>
      <c r="F235" s="87" t="s">
        <v>69</v>
      </c>
      <c r="G235" s="372">
        <f>SUM(G233:G234)</f>
        <v>13</v>
      </c>
      <c r="I235">
        <v>0.85</v>
      </c>
      <c r="J235">
        <v>0.7</v>
      </c>
      <c r="K235">
        <f>I235*J235</f>
        <v>0.595</v>
      </c>
    </row>
    <row r="236" spans="1:11" ht="12.75">
      <c r="A236" s="33"/>
      <c r="B236" s="70"/>
      <c r="C236" s="41"/>
      <c r="D236" s="52"/>
      <c r="E236" s="52"/>
      <c r="F236" s="77"/>
      <c r="G236" s="392"/>
      <c r="I236">
        <v>1</v>
      </c>
      <c r="J236">
        <v>0.75</v>
      </c>
      <c r="K236">
        <f>I236*J236</f>
        <v>0.75</v>
      </c>
    </row>
    <row r="237" spans="1:7" ht="12.75">
      <c r="A237" s="33"/>
      <c r="B237" s="198" t="s">
        <v>444</v>
      </c>
      <c r="C237" s="198" t="s">
        <v>474</v>
      </c>
      <c r="D237" s="198" t="s">
        <v>470</v>
      </c>
      <c r="E237" s="373" t="s">
        <v>471</v>
      </c>
      <c r="F237" s="208" t="s">
        <v>24</v>
      </c>
      <c r="G237" s="437" t="s">
        <v>472</v>
      </c>
    </row>
    <row r="238" spans="1:7" ht="12.75">
      <c r="A238" s="33"/>
      <c r="B238" s="386" t="s">
        <v>476</v>
      </c>
      <c r="C238" s="387">
        <v>4.73</v>
      </c>
      <c r="D238" s="387">
        <v>0.55</v>
      </c>
      <c r="E238" s="388">
        <v>0.35</v>
      </c>
      <c r="F238" s="210">
        <v>2</v>
      </c>
      <c r="G238" s="438">
        <f>D238*C238*E238*2</f>
        <v>1.82</v>
      </c>
    </row>
    <row r="239" spans="1:7" ht="12.75">
      <c r="A239" s="33"/>
      <c r="B239" s="333" t="s">
        <v>475</v>
      </c>
      <c r="C239" s="390">
        <v>5.31</v>
      </c>
      <c r="D239" s="387">
        <v>0.55</v>
      </c>
      <c r="E239" s="388">
        <v>0.35</v>
      </c>
      <c r="F239" s="210">
        <v>2</v>
      </c>
      <c r="G239" s="438">
        <f>D239*C239*E239*2</f>
        <v>2.04</v>
      </c>
    </row>
    <row r="240" spans="1:7" ht="13.5" thickBot="1">
      <c r="A240" s="33"/>
      <c r="B240" s="386" t="s">
        <v>477</v>
      </c>
      <c r="C240" s="387">
        <v>8.25</v>
      </c>
      <c r="D240" s="387">
        <v>0.55</v>
      </c>
      <c r="E240" s="388">
        <v>0.35</v>
      </c>
      <c r="F240" s="210">
        <v>2</v>
      </c>
      <c r="G240" s="438">
        <f>D240*C240*E240*2</f>
        <v>3.18</v>
      </c>
    </row>
    <row r="241" spans="1:7" ht="13.5" thickBot="1">
      <c r="A241" s="33"/>
      <c r="B241" s="72"/>
      <c r="C241" s="71"/>
      <c r="D241" s="52"/>
      <c r="E241" s="52"/>
      <c r="F241" s="87" t="s">
        <v>69</v>
      </c>
      <c r="G241" s="372">
        <f>SUM(G238:G240)</f>
        <v>7.04</v>
      </c>
    </row>
    <row r="242" spans="1:7" ht="13.5" thickBot="1">
      <c r="A242" s="33"/>
      <c r="B242" s="356" t="s">
        <v>478</v>
      </c>
      <c r="C242" s="394">
        <f>SUM(G235+G241)</f>
        <v>20.04</v>
      </c>
      <c r="D242" s="481"/>
      <c r="E242" s="37"/>
      <c r="F242" s="34"/>
      <c r="G242" s="35"/>
    </row>
    <row r="243" spans="1:9" ht="13.5" thickBot="1">
      <c r="A243" s="33"/>
      <c r="B243" s="34"/>
      <c r="C243" s="34"/>
      <c r="D243" s="481"/>
      <c r="E243" s="37"/>
      <c r="F243" s="34"/>
      <c r="G243" s="35"/>
      <c r="I243" s="406" t="s">
        <v>531</v>
      </c>
    </row>
    <row r="244" spans="1:7" ht="13.5" thickBot="1">
      <c r="A244" s="80" t="s">
        <v>52</v>
      </c>
      <c r="B244" s="570" t="str">
        <f>Planilha!C34</f>
        <v>APILOAMENTO DO FUNDO DE VALAS COM SOQUETE</v>
      </c>
      <c r="C244" s="571"/>
      <c r="D244" s="571"/>
      <c r="E244" s="572"/>
      <c r="F244" s="81">
        <f>C256</f>
        <v>10.57</v>
      </c>
      <c r="G244" s="80" t="s">
        <v>107</v>
      </c>
    </row>
    <row r="245" spans="1:7" ht="12.75">
      <c r="A245" s="33"/>
      <c r="B245" s="34"/>
      <c r="C245" s="34"/>
      <c r="D245" s="481"/>
      <c r="E245" s="37"/>
      <c r="F245" s="34"/>
      <c r="G245" s="35"/>
    </row>
    <row r="246" spans="1:7" ht="12.75">
      <c r="A246" s="33"/>
      <c r="B246" s="198" t="s">
        <v>444</v>
      </c>
      <c r="C246" s="198" t="s">
        <v>479</v>
      </c>
      <c r="D246" s="198" t="s">
        <v>449</v>
      </c>
      <c r="E246" s="373" t="s">
        <v>24</v>
      </c>
      <c r="F246" s="374" t="s">
        <v>447</v>
      </c>
      <c r="G246" s="375"/>
    </row>
    <row r="247" spans="1:7" ht="12.75">
      <c r="A247" s="33"/>
      <c r="B247" s="386" t="s">
        <v>467</v>
      </c>
      <c r="C247" s="387">
        <v>0.6</v>
      </c>
      <c r="D247" s="387">
        <v>0.75</v>
      </c>
      <c r="E247" s="388">
        <v>6</v>
      </c>
      <c r="F247" s="213">
        <f>D247*C247*E247</f>
        <v>2.7</v>
      </c>
      <c r="G247" s="389"/>
    </row>
    <row r="248" spans="1:7" ht="13.5" thickBot="1">
      <c r="A248" s="33"/>
      <c r="B248" s="333" t="s">
        <v>469</v>
      </c>
      <c r="C248" s="390">
        <v>0.85</v>
      </c>
      <c r="D248" s="391">
        <v>0.7</v>
      </c>
      <c r="E248" s="388">
        <v>4</v>
      </c>
      <c r="F248" s="213">
        <f>D248*C248*E248</f>
        <v>2.38</v>
      </c>
      <c r="G248" s="389"/>
    </row>
    <row r="249" spans="1:7" ht="13.5" thickBot="1">
      <c r="A249" s="33"/>
      <c r="B249" s="72"/>
      <c r="C249" s="71"/>
      <c r="D249" s="52"/>
      <c r="E249" s="87" t="s">
        <v>69</v>
      </c>
      <c r="F249" s="372">
        <f>SUM(F247:F248)</f>
        <v>5.08</v>
      </c>
      <c r="G249" s="55"/>
    </row>
    <row r="250" spans="1:7" ht="13.5" thickBot="1">
      <c r="A250" s="33"/>
      <c r="B250" s="72"/>
      <c r="C250" s="71"/>
      <c r="D250" s="71"/>
      <c r="E250" s="55"/>
      <c r="F250" s="376"/>
      <c r="G250" s="377"/>
    </row>
    <row r="251" spans="1:7" ht="12.75">
      <c r="A251" s="33"/>
      <c r="B251" s="198" t="s">
        <v>444</v>
      </c>
      <c r="C251" s="198" t="s">
        <v>474</v>
      </c>
      <c r="D251" s="198" t="s">
        <v>470</v>
      </c>
      <c r="E251" s="208" t="s">
        <v>24</v>
      </c>
      <c r="F251" s="374" t="s">
        <v>445</v>
      </c>
      <c r="G251" s="55"/>
    </row>
    <row r="252" spans="1:7" ht="12.75">
      <c r="A252" s="33"/>
      <c r="B252" s="386" t="s">
        <v>476</v>
      </c>
      <c r="C252" s="387">
        <v>4.73</v>
      </c>
      <c r="D252" s="387">
        <v>0.15</v>
      </c>
      <c r="E252" s="210">
        <v>2</v>
      </c>
      <c r="F252" s="253">
        <f>C252*D252*E252</f>
        <v>1.42</v>
      </c>
      <c r="G252" s="55"/>
    </row>
    <row r="253" spans="1:7" ht="12.75">
      <c r="A253" s="33"/>
      <c r="B253" s="333" t="s">
        <v>475</v>
      </c>
      <c r="C253" s="390">
        <v>5.31</v>
      </c>
      <c r="D253" s="391">
        <v>0.15</v>
      </c>
      <c r="E253" s="210">
        <v>2</v>
      </c>
      <c r="F253" s="253">
        <f>C253*D253*E253</f>
        <v>1.59</v>
      </c>
      <c r="G253" s="55"/>
    </row>
    <row r="254" spans="1:7" ht="13.5" thickBot="1">
      <c r="A254" s="33"/>
      <c r="B254" s="386" t="s">
        <v>477</v>
      </c>
      <c r="C254" s="387">
        <v>8.25</v>
      </c>
      <c r="D254" s="387">
        <v>0.15</v>
      </c>
      <c r="E254" s="210">
        <v>2</v>
      </c>
      <c r="F254" s="253">
        <f>C254*D254*E254</f>
        <v>2.48</v>
      </c>
      <c r="G254" s="55"/>
    </row>
    <row r="255" spans="1:7" ht="13.5" thickBot="1">
      <c r="A255" s="33"/>
      <c r="B255" s="72"/>
      <c r="C255" s="71"/>
      <c r="D255" s="52"/>
      <c r="E255" s="87" t="s">
        <v>69</v>
      </c>
      <c r="F255" s="372">
        <f>SUM(F252:F254)</f>
        <v>5.49</v>
      </c>
      <c r="G255" s="55"/>
    </row>
    <row r="256" spans="1:7" ht="13.5" thickBot="1">
      <c r="A256" s="33"/>
      <c r="B256" s="356" t="s">
        <v>480</v>
      </c>
      <c r="C256" s="394">
        <f>F249+F255</f>
        <v>10.57</v>
      </c>
      <c r="D256" s="481"/>
      <c r="E256" s="37"/>
      <c r="F256" s="34"/>
      <c r="G256" s="35"/>
    </row>
    <row r="257" spans="1:7" ht="13.5" thickBot="1">
      <c r="A257" s="33"/>
      <c r="B257" s="78"/>
      <c r="C257" s="395"/>
      <c r="D257" s="481"/>
      <c r="E257" s="37"/>
      <c r="F257" s="34"/>
      <c r="G257" s="35"/>
    </row>
    <row r="258" spans="1:7" ht="13.5" thickBot="1">
      <c r="A258" s="80" t="s">
        <v>72</v>
      </c>
      <c r="B258" s="570" t="str">
        <f>Planilha!C35</f>
        <v>LASTRO DE CONCRETO MAGRO, INCLUSIVE TRANSPORTE, LANÇAMENTO E ADENSAMENTO</v>
      </c>
      <c r="C258" s="571"/>
      <c r="D258" s="571"/>
      <c r="E258" s="572"/>
      <c r="F258" s="81">
        <f>C272</f>
        <v>0.53</v>
      </c>
      <c r="G258" s="80" t="s">
        <v>108</v>
      </c>
    </row>
    <row r="259" spans="1:7" ht="12.75">
      <c r="A259" s="33"/>
      <c r="B259" s="34"/>
      <c r="C259" s="34"/>
      <c r="D259" s="481"/>
      <c r="E259" s="37"/>
      <c r="F259" s="34"/>
      <c r="G259" s="35"/>
    </row>
    <row r="260" spans="1:7" ht="12.75">
      <c r="A260" s="33"/>
      <c r="B260" s="198" t="s">
        <v>444</v>
      </c>
      <c r="C260" s="198" t="s">
        <v>494</v>
      </c>
      <c r="D260" s="198" t="s">
        <v>24</v>
      </c>
      <c r="E260" s="373" t="s">
        <v>481</v>
      </c>
      <c r="F260" s="374" t="s">
        <v>495</v>
      </c>
      <c r="G260" s="375" t="s">
        <v>218</v>
      </c>
    </row>
    <row r="261" spans="1:7" ht="12.75">
      <c r="A261" s="33"/>
      <c r="B261" s="386" t="s">
        <v>467</v>
      </c>
      <c r="C261" s="387">
        <v>0.45</v>
      </c>
      <c r="D261" s="387">
        <v>6</v>
      </c>
      <c r="E261" s="388">
        <v>0.05</v>
      </c>
      <c r="F261" s="213">
        <f>D261*C261</f>
        <v>2.7</v>
      </c>
      <c r="G261" s="396">
        <f>E261*F261</f>
        <v>0.14</v>
      </c>
    </row>
    <row r="262" spans="1:7" ht="13.5" thickBot="1">
      <c r="A262" s="33"/>
      <c r="B262" s="333" t="s">
        <v>469</v>
      </c>
      <c r="C262" s="390">
        <v>0.59</v>
      </c>
      <c r="D262" s="391">
        <v>4</v>
      </c>
      <c r="E262" s="388">
        <v>0.05</v>
      </c>
      <c r="F262" s="213">
        <f>D262*C262</f>
        <v>2.36</v>
      </c>
      <c r="G262" s="396">
        <f>E262*F262</f>
        <v>0.12</v>
      </c>
    </row>
    <row r="263" spans="1:11" ht="13.5" thickBot="1">
      <c r="A263" s="33"/>
      <c r="B263" s="72"/>
      <c r="C263" s="71"/>
      <c r="D263" s="52"/>
      <c r="E263" s="52"/>
      <c r="F263" s="87" t="s">
        <v>69</v>
      </c>
      <c r="G263" s="372">
        <f>G261+G262</f>
        <v>0.26</v>
      </c>
      <c r="I263">
        <v>0.85</v>
      </c>
      <c r="J263">
        <v>0.7</v>
      </c>
      <c r="K263">
        <f>I263*J263</f>
        <v>0.595</v>
      </c>
    </row>
    <row r="264" spans="1:7" ht="12.75">
      <c r="A264" s="33"/>
      <c r="B264" s="70"/>
      <c r="C264" s="41"/>
      <c r="D264" s="52"/>
      <c r="E264" s="52"/>
      <c r="F264" s="77"/>
      <c r="G264" s="392"/>
    </row>
    <row r="265" spans="1:7" ht="12.75">
      <c r="A265" s="33"/>
      <c r="B265" s="198" t="s">
        <v>444</v>
      </c>
      <c r="C265" s="198" t="s">
        <v>497</v>
      </c>
      <c r="D265" s="198" t="s">
        <v>21</v>
      </c>
      <c r="E265" s="373" t="s">
        <v>481</v>
      </c>
      <c r="F265" s="208" t="s">
        <v>24</v>
      </c>
      <c r="G265" s="437" t="s">
        <v>496</v>
      </c>
    </row>
    <row r="266" spans="1:7" ht="12.75">
      <c r="A266" s="33"/>
      <c r="B266" s="386" t="s">
        <v>476</v>
      </c>
      <c r="C266" s="387">
        <v>4.73</v>
      </c>
      <c r="D266" s="387">
        <v>0.15</v>
      </c>
      <c r="E266" s="388">
        <v>0.05</v>
      </c>
      <c r="F266" s="210">
        <v>2</v>
      </c>
      <c r="G266" s="438">
        <f>D266*C266*E266*2</f>
        <v>0.07</v>
      </c>
    </row>
    <row r="267" spans="1:7" ht="12.75">
      <c r="A267" s="33"/>
      <c r="B267" s="333" t="s">
        <v>475</v>
      </c>
      <c r="C267" s="390">
        <v>5.31</v>
      </c>
      <c r="D267" s="391">
        <v>0.15</v>
      </c>
      <c r="E267" s="388">
        <v>0.05</v>
      </c>
      <c r="F267" s="210">
        <v>2</v>
      </c>
      <c r="G267" s="438">
        <f>D267*C267*E267*2</f>
        <v>0.08</v>
      </c>
    </row>
    <row r="268" spans="1:7" ht="13.5" thickBot="1">
      <c r="A268" s="33"/>
      <c r="B268" s="386" t="s">
        <v>477</v>
      </c>
      <c r="C268" s="387">
        <v>8.25</v>
      </c>
      <c r="D268" s="387">
        <v>0.15</v>
      </c>
      <c r="E268" s="388">
        <v>0.05</v>
      </c>
      <c r="F268" s="210">
        <v>2</v>
      </c>
      <c r="G268" s="438">
        <f>D268*C268*E268*2</f>
        <v>0.12</v>
      </c>
    </row>
    <row r="269" spans="1:7" ht="13.5" thickBot="1">
      <c r="A269" s="33"/>
      <c r="B269" s="70"/>
      <c r="C269" s="41"/>
      <c r="D269" s="52"/>
      <c r="E269" s="52"/>
      <c r="F269" s="87" t="s">
        <v>69</v>
      </c>
      <c r="G269" s="372">
        <f>SUM(G266:G268)</f>
        <v>0.27</v>
      </c>
    </row>
    <row r="270" spans="1:7" ht="12.75">
      <c r="A270" s="33"/>
      <c r="B270" s="70"/>
      <c r="C270" s="41"/>
      <c r="D270" s="52"/>
      <c r="E270" s="52"/>
      <c r="F270" s="77"/>
      <c r="G270" s="392"/>
    </row>
    <row r="271" spans="1:7" ht="13.5" thickBot="1">
      <c r="A271" s="33"/>
      <c r="B271" s="70"/>
      <c r="C271" s="41"/>
      <c r="D271" s="52"/>
      <c r="E271" s="52"/>
      <c r="F271" s="77"/>
      <c r="G271" s="392"/>
    </row>
    <row r="272" spans="1:7" ht="13.5" thickBot="1">
      <c r="A272" s="33"/>
      <c r="B272" s="356" t="s">
        <v>478</v>
      </c>
      <c r="C272" s="394">
        <f>SUM(G263+G269)</f>
        <v>0.53</v>
      </c>
      <c r="D272" s="481"/>
      <c r="E272" s="37"/>
      <c r="F272" s="34"/>
      <c r="G272" s="35"/>
    </row>
    <row r="273" spans="1:7" ht="13.5" thickBot="1">
      <c r="A273" s="33"/>
      <c r="B273" s="34"/>
      <c r="C273" s="34"/>
      <c r="D273" s="481"/>
      <c r="E273" s="37"/>
      <c r="F273" s="34"/>
      <c r="G273" s="35"/>
    </row>
    <row r="274" spans="1:7" ht="13.5" thickBot="1">
      <c r="A274" s="80" t="s">
        <v>53</v>
      </c>
      <c r="B274" s="570" t="str">
        <f>Planilha!C36</f>
        <v>FORMA E DESFORMA DE TÁBUA E SARRAFO, REAPROVEITAMENTO (3X) (FUNDAÇÃO)</v>
      </c>
      <c r="C274" s="571"/>
      <c r="D274" s="571"/>
      <c r="E274" s="572"/>
      <c r="F274" s="81">
        <f>E279</f>
        <v>38.59</v>
      </c>
      <c r="G274" s="80" t="s">
        <v>107</v>
      </c>
    </row>
    <row r="275" spans="1:7" ht="12.75">
      <c r="A275" s="33"/>
      <c r="B275" s="34"/>
      <c r="C275" s="34"/>
      <c r="D275" s="481"/>
      <c r="E275" s="37"/>
      <c r="F275" s="34"/>
      <c r="G275" s="35"/>
    </row>
    <row r="276" spans="1:7" ht="12.75">
      <c r="A276" s="33"/>
      <c r="B276" s="197"/>
      <c r="C276" s="203" t="s">
        <v>484</v>
      </c>
      <c r="D276" s="198" t="s">
        <v>485</v>
      </c>
      <c r="E276" s="199" t="s">
        <v>486</v>
      </c>
      <c r="F276" s="34"/>
      <c r="G276" s="35"/>
    </row>
    <row r="277" spans="1:7" ht="12.75">
      <c r="A277" s="33"/>
      <c r="B277" s="92" t="s">
        <v>482</v>
      </c>
      <c r="C277" s="92">
        <v>104.69</v>
      </c>
      <c r="D277" s="92">
        <v>3</v>
      </c>
      <c r="E277" s="112">
        <f>C277/D277</f>
        <v>34.9</v>
      </c>
      <c r="F277" s="34"/>
      <c r="G277" s="35"/>
    </row>
    <row r="278" spans="1:7" ht="13.5" thickBot="1">
      <c r="A278" s="33"/>
      <c r="B278" s="92" t="s">
        <v>483</v>
      </c>
      <c r="C278" s="92">
        <v>11.08</v>
      </c>
      <c r="D278" s="86">
        <v>3</v>
      </c>
      <c r="E278" s="211">
        <f>C278/D278</f>
        <v>3.69</v>
      </c>
      <c r="F278" s="34"/>
      <c r="G278" s="35"/>
    </row>
    <row r="279" spans="1:7" ht="13.5" thickBot="1">
      <c r="A279" s="33"/>
      <c r="B279" s="92"/>
      <c r="C279" s="398"/>
      <c r="D279" s="356" t="s">
        <v>480</v>
      </c>
      <c r="E279" s="394">
        <f>E277+E278</f>
        <v>38.59</v>
      </c>
      <c r="F279" s="34"/>
      <c r="G279" s="35"/>
    </row>
    <row r="280" spans="1:7" ht="13.5" thickBot="1">
      <c r="A280" s="33"/>
      <c r="B280" s="34"/>
      <c r="C280" s="34"/>
      <c r="D280" s="481"/>
      <c r="E280" s="37"/>
      <c r="F280" s="34"/>
      <c r="G280" s="35"/>
    </row>
    <row r="281" spans="1:7" ht="13.5" thickBot="1">
      <c r="A281" s="80" t="s">
        <v>425</v>
      </c>
      <c r="B281" s="570" t="str">
        <f>Planilha!C40</f>
        <v>REATERRO MANUAL APILOADO COM SOQUETE. AF_10/2017</v>
      </c>
      <c r="C281" s="571"/>
      <c r="D281" s="571"/>
      <c r="E281" s="572"/>
      <c r="F281" s="81">
        <f>C285</f>
        <v>12.4</v>
      </c>
      <c r="G281" s="80" t="s">
        <v>108</v>
      </c>
    </row>
    <row r="282" spans="1:7" ht="12.75">
      <c r="A282" s="33"/>
      <c r="B282" s="34"/>
      <c r="C282" s="34"/>
      <c r="D282" s="481"/>
      <c r="E282" s="37"/>
      <c r="F282" s="34"/>
      <c r="G282" s="35"/>
    </row>
    <row r="283" spans="1:7" ht="12.75">
      <c r="A283" s="33"/>
      <c r="B283" s="92" t="s">
        <v>488</v>
      </c>
      <c r="C283" s="92">
        <v>20.04</v>
      </c>
      <c r="D283" s="481"/>
      <c r="E283" s="37"/>
      <c r="F283" s="34"/>
      <c r="G283" s="35"/>
    </row>
    <row r="284" spans="1:7" ht="13.5" thickBot="1">
      <c r="A284" s="33"/>
      <c r="B284" s="86" t="s">
        <v>489</v>
      </c>
      <c r="C284" s="86">
        <v>7.64</v>
      </c>
      <c r="D284" s="481"/>
      <c r="E284" s="37"/>
      <c r="F284" s="34"/>
      <c r="G284" s="35"/>
    </row>
    <row r="285" spans="1:7" ht="13.5" thickBot="1">
      <c r="A285" s="33"/>
      <c r="B285" s="356" t="s">
        <v>490</v>
      </c>
      <c r="C285" s="402">
        <f>C283-C284</f>
        <v>12.4</v>
      </c>
      <c r="D285" s="481"/>
      <c r="E285" s="37"/>
      <c r="F285" s="34"/>
      <c r="G285" s="35"/>
    </row>
    <row r="286" spans="1:7" ht="13.5" thickBot="1">
      <c r="A286" s="33"/>
      <c r="B286" s="34"/>
      <c r="C286" s="34"/>
      <c r="D286" s="481"/>
      <c r="E286" s="37"/>
      <c r="F286" s="34"/>
      <c r="G286" s="35"/>
    </row>
    <row r="287" spans="1:7" ht="13.5" thickBot="1">
      <c r="A287" s="80" t="s">
        <v>426</v>
      </c>
      <c r="B287" s="570" t="str">
        <f>Planilha!C41</f>
        <v>ATERRO COMPACTADO MANUAL, COM SOQUETE</v>
      </c>
      <c r="C287" s="571"/>
      <c r="D287" s="571"/>
      <c r="E287" s="572"/>
      <c r="F287" s="81">
        <f>F291</f>
        <v>14.69</v>
      </c>
      <c r="G287" s="80" t="s">
        <v>108</v>
      </c>
    </row>
    <row r="288" spans="1:7" ht="12.75">
      <c r="A288" s="33"/>
      <c r="B288" s="34"/>
      <c r="C288" s="34"/>
      <c r="D288" s="481"/>
      <c r="E288" s="37"/>
      <c r="F288" s="34"/>
      <c r="G288" s="35"/>
    </row>
    <row r="289" spans="1:7" ht="12.75">
      <c r="A289" s="33"/>
      <c r="B289" s="198" t="s">
        <v>20</v>
      </c>
      <c r="C289" s="393" t="s">
        <v>238</v>
      </c>
      <c r="D289" s="198" t="s">
        <v>245</v>
      </c>
      <c r="E289" s="199" t="s">
        <v>604</v>
      </c>
      <c r="F289" s="198" t="s">
        <v>218</v>
      </c>
      <c r="G289" s="35"/>
    </row>
    <row r="290" spans="1:7" ht="13.5" thickBot="1">
      <c r="A290" s="33"/>
      <c r="B290" s="92" t="s">
        <v>557</v>
      </c>
      <c r="C290" s="92">
        <v>8.9</v>
      </c>
      <c r="D290" s="92">
        <v>5.5</v>
      </c>
      <c r="E290" s="112">
        <v>0.3</v>
      </c>
      <c r="F290" s="112">
        <f>C290*D290*E290</f>
        <v>14.69</v>
      </c>
      <c r="G290" s="35"/>
    </row>
    <row r="291" spans="1:7" ht="13.5" thickBot="1">
      <c r="A291" s="33"/>
      <c r="B291" s="34"/>
      <c r="C291" s="34"/>
      <c r="D291" s="52"/>
      <c r="E291" s="78" t="s">
        <v>493</v>
      </c>
      <c r="F291" s="212">
        <f>F290</f>
        <v>14.69</v>
      </c>
      <c r="G291" s="35"/>
    </row>
    <row r="292" spans="1:7" ht="13.5" thickBot="1">
      <c r="A292" s="33"/>
      <c r="B292" s="34"/>
      <c r="C292" s="34"/>
      <c r="D292" s="481"/>
      <c r="E292" s="37"/>
      <c r="F292" s="34"/>
      <c r="G292" s="35"/>
    </row>
    <row r="293" spans="1:7" ht="13.5" thickBot="1">
      <c r="A293" s="80" t="s">
        <v>427</v>
      </c>
      <c r="B293" s="570" t="str">
        <f>Planilha!C42</f>
        <v>IMPERMEABILIZAÇÃO DE SUPERFÍCIE COM EMULSÃO ASFÁLTICA, 2 DEMÃOS AF_06/2018</v>
      </c>
      <c r="C293" s="571"/>
      <c r="D293" s="571"/>
      <c r="E293" s="572"/>
      <c r="F293" s="81">
        <f>E298</f>
        <v>38.91</v>
      </c>
      <c r="G293" s="80" t="s">
        <v>107</v>
      </c>
    </row>
    <row r="294" spans="1:7" ht="12.75">
      <c r="A294" s="33"/>
      <c r="B294" s="397"/>
      <c r="C294" s="397"/>
      <c r="D294" s="481"/>
      <c r="E294" s="37"/>
      <c r="F294" s="34"/>
      <c r="G294" s="35"/>
    </row>
    <row r="295" spans="1:7" ht="12.75">
      <c r="A295" s="33"/>
      <c r="B295" s="198" t="s">
        <v>20</v>
      </c>
      <c r="C295" s="393" t="s">
        <v>238</v>
      </c>
      <c r="D295" s="198" t="s">
        <v>245</v>
      </c>
      <c r="E295" s="199" t="s">
        <v>492</v>
      </c>
      <c r="F295" s="34"/>
      <c r="G295" s="35"/>
    </row>
    <row r="296" spans="1:7" ht="12.75">
      <c r="A296" s="33"/>
      <c r="B296" s="92" t="s">
        <v>473</v>
      </c>
      <c r="C296" s="92">
        <v>40</v>
      </c>
      <c r="D296" s="92">
        <v>0.75</v>
      </c>
      <c r="E296" s="112">
        <f>C296*D296</f>
        <v>30</v>
      </c>
      <c r="F296" s="34"/>
      <c r="G296" s="35"/>
    </row>
    <row r="297" spans="1:7" ht="13.5" thickBot="1">
      <c r="A297" s="33"/>
      <c r="B297" s="92" t="s">
        <v>491</v>
      </c>
      <c r="C297" s="92">
        <v>14.85</v>
      </c>
      <c r="D297" s="236">
        <v>0.6</v>
      </c>
      <c r="E297" s="112">
        <f>C297*D297</f>
        <v>8.91</v>
      </c>
      <c r="F297" s="34"/>
      <c r="G297" s="35"/>
    </row>
    <row r="298" spans="1:7" ht="13.5" thickBot="1">
      <c r="A298" s="33"/>
      <c r="B298" s="34"/>
      <c r="C298" s="34"/>
      <c r="D298" s="78" t="s">
        <v>493</v>
      </c>
      <c r="E298" s="212">
        <f>E296+E297</f>
        <v>38.91</v>
      </c>
      <c r="F298" s="34"/>
      <c r="G298" s="35"/>
    </row>
    <row r="299" spans="1:7" ht="12.75">
      <c r="A299" s="33"/>
      <c r="B299" s="34"/>
      <c r="C299" s="34"/>
      <c r="D299" s="34"/>
      <c r="E299" s="45"/>
      <c r="F299" s="34"/>
      <c r="G299" s="35"/>
    </row>
    <row r="300" spans="1:7" ht="13.5" thickBot="1">
      <c r="A300" s="224"/>
      <c r="B300" s="52"/>
      <c r="C300" s="481"/>
      <c r="D300" s="481"/>
      <c r="E300" s="481"/>
      <c r="F300" s="34"/>
      <c r="G300" s="35"/>
    </row>
    <row r="301" spans="1:7" ht="14.25" thickBot="1">
      <c r="A301" s="240">
        <v>5</v>
      </c>
      <c r="B301" s="582" t="s">
        <v>272</v>
      </c>
      <c r="C301" s="583"/>
      <c r="D301" s="583"/>
      <c r="E301" s="583"/>
      <c r="F301" s="583"/>
      <c r="G301" s="584"/>
    </row>
    <row r="302" spans="1:7" ht="14.25" thickBot="1">
      <c r="A302" s="447"/>
      <c r="B302" s="244"/>
      <c r="C302" s="241"/>
      <c r="D302" s="241"/>
      <c r="E302" s="241"/>
      <c r="F302" s="242"/>
      <c r="G302" s="243"/>
    </row>
    <row r="303" spans="1:7" ht="13.5" thickBot="1">
      <c r="A303" s="80" t="s">
        <v>33</v>
      </c>
      <c r="B303" s="545" t="s">
        <v>63</v>
      </c>
      <c r="C303" s="546"/>
      <c r="D303" s="546"/>
      <c r="E303" s="547"/>
      <c r="F303" s="81">
        <f>F318</f>
        <v>134.5</v>
      </c>
      <c r="G303" s="80" t="s">
        <v>107</v>
      </c>
    </row>
    <row r="304" spans="1:7" ht="12.75">
      <c r="A304" s="46"/>
      <c r="B304" s="34"/>
      <c r="C304" s="34"/>
      <c r="D304" s="34"/>
      <c r="E304" s="45"/>
      <c r="F304" s="34"/>
      <c r="G304" s="35"/>
    </row>
    <row r="305" spans="1:7" ht="12.75">
      <c r="A305" s="574"/>
      <c r="B305" s="114" t="s">
        <v>20</v>
      </c>
      <c r="C305" s="114" t="s">
        <v>21</v>
      </c>
      <c r="D305" s="114" t="s">
        <v>22</v>
      </c>
      <c r="E305" s="235" t="s">
        <v>24</v>
      </c>
      <c r="F305" s="411" t="s">
        <v>538</v>
      </c>
      <c r="G305" s="448"/>
    </row>
    <row r="306" spans="1:7" ht="12.75">
      <c r="A306" s="574"/>
      <c r="B306" s="103" t="s">
        <v>276</v>
      </c>
      <c r="C306" s="108">
        <v>2.9</v>
      </c>
      <c r="D306" s="108">
        <v>3</v>
      </c>
      <c r="E306" s="413">
        <v>1</v>
      </c>
      <c r="F306" s="267">
        <f aca="true" t="shared" si="6" ref="F306:F316">C306*D306*E306</f>
        <v>8.7</v>
      </c>
      <c r="G306" s="378"/>
    </row>
    <row r="307" spans="1:10" ht="24.75" customHeight="1">
      <c r="A307" s="574"/>
      <c r="B307" s="103" t="s">
        <v>277</v>
      </c>
      <c r="C307" s="108">
        <v>2</v>
      </c>
      <c r="D307" s="108">
        <v>3</v>
      </c>
      <c r="E307" s="413">
        <v>1</v>
      </c>
      <c r="F307" s="267">
        <f t="shared" si="6"/>
        <v>6</v>
      </c>
      <c r="G307" s="378"/>
      <c r="J307" s="52"/>
    </row>
    <row r="308" spans="1:10" ht="12.75">
      <c r="A308" s="574"/>
      <c r="B308" s="103" t="s">
        <v>224</v>
      </c>
      <c r="C308" s="108">
        <v>2.6</v>
      </c>
      <c r="D308" s="108">
        <v>3</v>
      </c>
      <c r="E308" s="413">
        <v>1</v>
      </c>
      <c r="F308" s="267">
        <f t="shared" si="6"/>
        <v>7.8</v>
      </c>
      <c r="G308" s="378"/>
      <c r="J308" s="52"/>
    </row>
    <row r="309" spans="1:7" ht="12.75">
      <c r="A309" s="574"/>
      <c r="B309" s="103" t="s">
        <v>240</v>
      </c>
      <c r="C309" s="108">
        <v>3.3</v>
      </c>
      <c r="D309" s="108">
        <v>3</v>
      </c>
      <c r="E309" s="413">
        <v>1</v>
      </c>
      <c r="F309" s="267">
        <f t="shared" si="6"/>
        <v>9.9</v>
      </c>
      <c r="G309" s="378"/>
    </row>
    <row r="310" spans="1:7" ht="12.75">
      <c r="A310" s="574"/>
      <c r="B310" s="103" t="s">
        <v>461</v>
      </c>
      <c r="C310" s="108">
        <v>3.3</v>
      </c>
      <c r="D310" s="108">
        <v>3</v>
      </c>
      <c r="E310" s="413">
        <v>1</v>
      </c>
      <c r="F310" s="267">
        <f t="shared" si="6"/>
        <v>9.9</v>
      </c>
      <c r="G310" s="378"/>
    </row>
    <row r="311" spans="1:7" ht="12.75">
      <c r="A311" s="574"/>
      <c r="B311" s="103" t="s">
        <v>221</v>
      </c>
      <c r="C311" s="108">
        <v>1.6</v>
      </c>
      <c r="D311" s="108">
        <v>3</v>
      </c>
      <c r="E311" s="413">
        <v>1</v>
      </c>
      <c r="F311" s="267">
        <f t="shared" si="6"/>
        <v>4.8</v>
      </c>
      <c r="G311" s="378"/>
    </row>
    <row r="312" spans="1:7" ht="15" customHeight="1">
      <c r="A312" s="574"/>
      <c r="B312" s="103" t="s">
        <v>270</v>
      </c>
      <c r="C312" s="108">
        <v>2.05</v>
      </c>
      <c r="D312" s="108">
        <v>3</v>
      </c>
      <c r="E312" s="413">
        <v>1</v>
      </c>
      <c r="F312" s="267">
        <f t="shared" si="6"/>
        <v>6.15</v>
      </c>
      <c r="G312" s="378"/>
    </row>
    <row r="313" spans="1:7" ht="15" customHeight="1">
      <c r="A313" s="477"/>
      <c r="B313" s="103" t="s">
        <v>225</v>
      </c>
      <c r="C313" s="108">
        <v>0.8</v>
      </c>
      <c r="D313" s="108">
        <v>2.1</v>
      </c>
      <c r="E313" s="413">
        <v>1</v>
      </c>
      <c r="F313" s="267">
        <f t="shared" si="6"/>
        <v>1.68</v>
      </c>
      <c r="G313" s="378"/>
    </row>
    <row r="314" spans="1:7" ht="15" customHeight="1">
      <c r="A314" s="479"/>
      <c r="B314" s="263" t="s">
        <v>219</v>
      </c>
      <c r="C314" s="380">
        <v>1.2</v>
      </c>
      <c r="D314" s="238">
        <v>2.1</v>
      </c>
      <c r="E314" s="414">
        <v>1</v>
      </c>
      <c r="F314" s="267">
        <f t="shared" si="6"/>
        <v>2.52</v>
      </c>
      <c r="G314" s="378"/>
    </row>
    <row r="315" spans="1:7" ht="15.75" customHeight="1">
      <c r="A315" s="449"/>
      <c r="B315" s="103" t="s">
        <v>311</v>
      </c>
      <c r="C315" s="111">
        <v>5.5</v>
      </c>
      <c r="D315" s="111">
        <v>3.5</v>
      </c>
      <c r="E315" s="415">
        <v>2</v>
      </c>
      <c r="F315" s="267">
        <f t="shared" si="6"/>
        <v>38.5</v>
      </c>
      <c r="G315" s="378"/>
    </row>
    <row r="316" spans="1:7" ht="14.25" customHeight="1">
      <c r="A316" s="479"/>
      <c r="B316" s="264" t="s">
        <v>311</v>
      </c>
      <c r="C316" s="379">
        <v>9.2</v>
      </c>
      <c r="D316" s="379">
        <v>3.5</v>
      </c>
      <c r="E316" s="478">
        <v>1</v>
      </c>
      <c r="F316" s="267">
        <f t="shared" si="6"/>
        <v>32.2</v>
      </c>
      <c r="G316" s="378"/>
    </row>
    <row r="317" spans="1:7" ht="15" customHeight="1" thickBot="1">
      <c r="A317" s="479"/>
      <c r="B317" s="103" t="s">
        <v>298</v>
      </c>
      <c r="C317" s="111">
        <v>9.2</v>
      </c>
      <c r="D317" s="111">
        <v>1.38</v>
      </c>
      <c r="E317" s="415">
        <v>1</v>
      </c>
      <c r="F317" s="412">
        <f>C317*D317/2</f>
        <v>6.35</v>
      </c>
      <c r="G317" s="378"/>
    </row>
    <row r="318" spans="1:7" ht="16.5" customHeight="1" thickBot="1">
      <c r="A318" s="33"/>
      <c r="B318" s="34"/>
      <c r="C318" s="34"/>
      <c r="D318" s="34"/>
      <c r="E318" s="78" t="s">
        <v>2</v>
      </c>
      <c r="F318" s="212">
        <f>SUM(F306:F317)</f>
        <v>134.5</v>
      </c>
      <c r="G318" s="55"/>
    </row>
    <row r="319" spans="1:7" ht="16.5" customHeight="1" thickBot="1">
      <c r="A319" s="47"/>
      <c r="B319" s="34"/>
      <c r="C319" s="34"/>
      <c r="D319" s="34"/>
      <c r="E319" s="45"/>
      <c r="F319" s="34"/>
      <c r="G319" s="61" t="s">
        <v>32</v>
      </c>
    </row>
    <row r="320" spans="1:7" ht="16.5" customHeight="1" thickBot="1">
      <c r="A320" s="80" t="s">
        <v>38</v>
      </c>
      <c r="B320" s="545" t="str">
        <f>Planilha!C45</f>
        <v>VERGA PRÉ-MOLDADA PARA JANELAS COM ATÉ 1,5 M DE VÃO. AF_03/2016</v>
      </c>
      <c r="C320" s="546"/>
      <c r="D320" s="546"/>
      <c r="E320" s="547"/>
      <c r="F320" s="81">
        <f>E333</f>
        <v>26.6</v>
      </c>
      <c r="G320" s="80" t="s">
        <v>25</v>
      </c>
    </row>
    <row r="321" spans="1:7" ht="12.75">
      <c r="A321" s="65"/>
      <c r="B321" s="34"/>
      <c r="C321" s="34"/>
      <c r="D321" s="34"/>
      <c r="E321" s="45"/>
      <c r="F321" s="34"/>
      <c r="G321" s="35"/>
    </row>
    <row r="322" spans="1:7" ht="16.5" customHeight="1">
      <c r="A322" s="477"/>
      <c r="B322" s="114" t="s">
        <v>20</v>
      </c>
      <c r="C322" s="204" t="s">
        <v>26</v>
      </c>
      <c r="D322" s="114" t="s">
        <v>24</v>
      </c>
      <c r="E322" s="114" t="s">
        <v>35</v>
      </c>
      <c r="F322" s="52"/>
      <c r="G322" s="35"/>
    </row>
    <row r="323" spans="1:13" ht="16.5" customHeight="1">
      <c r="A323" s="477"/>
      <c r="B323" s="103" t="s">
        <v>226</v>
      </c>
      <c r="C323" s="108">
        <v>1.9</v>
      </c>
      <c r="D323" s="108">
        <v>1</v>
      </c>
      <c r="E323" s="107">
        <f>C323*D323</f>
        <v>1.9</v>
      </c>
      <c r="F323" s="52"/>
      <c r="G323" s="35"/>
      <c r="M323" s="59" t="s">
        <v>539</v>
      </c>
    </row>
    <row r="324" spans="1:7" ht="17.25" customHeight="1">
      <c r="A324" s="477"/>
      <c r="B324" s="103" t="s">
        <v>229</v>
      </c>
      <c r="C324" s="108">
        <v>1.9</v>
      </c>
      <c r="D324" s="108">
        <v>1</v>
      </c>
      <c r="E324" s="107">
        <f aca="true" t="shared" si="7" ref="E324:E332">C324*D324</f>
        <v>1.9</v>
      </c>
      <c r="F324" s="52"/>
      <c r="G324" s="35"/>
    </row>
    <row r="325" spans="1:8" ht="15" customHeight="1">
      <c r="A325" s="477"/>
      <c r="B325" s="103" t="s">
        <v>537</v>
      </c>
      <c r="C325" s="108">
        <v>1.9</v>
      </c>
      <c r="D325" s="108">
        <v>1</v>
      </c>
      <c r="E325" s="107">
        <f t="shared" si="7"/>
        <v>1.9</v>
      </c>
      <c r="F325" s="52"/>
      <c r="G325" s="35"/>
      <c r="H325" s="52"/>
    </row>
    <row r="326" spans="1:7" ht="12.75">
      <c r="A326" s="477"/>
      <c r="B326" s="103" t="s">
        <v>231</v>
      </c>
      <c r="C326" s="108">
        <v>1.9</v>
      </c>
      <c r="D326" s="108">
        <v>1</v>
      </c>
      <c r="E326" s="107">
        <f t="shared" si="7"/>
        <v>1.9</v>
      </c>
      <c r="F326" s="52"/>
      <c r="G326" s="35"/>
    </row>
    <row r="327" spans="1:7" ht="13.5" customHeight="1">
      <c r="A327" s="477"/>
      <c r="B327" s="103" t="s">
        <v>224</v>
      </c>
      <c r="C327" s="108">
        <v>1.9</v>
      </c>
      <c r="D327" s="108">
        <v>1</v>
      </c>
      <c r="E327" s="107">
        <f t="shared" si="7"/>
        <v>1.9</v>
      </c>
      <c r="F327" s="52"/>
      <c r="G327" s="35"/>
    </row>
    <row r="328" spans="1:7" ht="12.75">
      <c r="A328" s="477"/>
      <c r="B328" s="103" t="s">
        <v>234</v>
      </c>
      <c r="C328" s="108">
        <v>1.9</v>
      </c>
      <c r="D328" s="108">
        <v>1</v>
      </c>
      <c r="E328" s="107">
        <f t="shared" si="7"/>
        <v>1.9</v>
      </c>
      <c r="F328" s="52"/>
      <c r="G328" s="35"/>
    </row>
    <row r="329" spans="1:7" ht="15" customHeight="1">
      <c r="A329" s="477"/>
      <c r="B329" s="103" t="s">
        <v>240</v>
      </c>
      <c r="C329" s="108">
        <v>1.9</v>
      </c>
      <c r="D329" s="108">
        <v>1</v>
      </c>
      <c r="E329" s="107">
        <f t="shared" si="7"/>
        <v>1.9</v>
      </c>
      <c r="F329" s="52"/>
      <c r="G329" s="35"/>
    </row>
    <row r="330" spans="1:7" ht="15" customHeight="1">
      <c r="A330" s="477"/>
      <c r="B330" s="103" t="s">
        <v>225</v>
      </c>
      <c r="C330" s="108">
        <v>1.9</v>
      </c>
      <c r="D330" s="108">
        <v>1</v>
      </c>
      <c r="E330" s="107">
        <f t="shared" si="7"/>
        <v>1.9</v>
      </c>
      <c r="F330" s="52"/>
      <c r="G330" s="35"/>
    </row>
    <row r="331" spans="1:7" ht="15" customHeight="1">
      <c r="A331" s="477"/>
      <c r="B331" s="263" t="s">
        <v>223</v>
      </c>
      <c r="C331" s="238">
        <v>1.9</v>
      </c>
      <c r="D331" s="238">
        <v>1</v>
      </c>
      <c r="E331" s="239">
        <f t="shared" si="7"/>
        <v>1.9</v>
      </c>
      <c r="F331" s="52"/>
      <c r="G331" s="35"/>
    </row>
    <row r="332" spans="1:7" ht="15" customHeight="1" thickBot="1">
      <c r="A332" s="477"/>
      <c r="B332" s="103" t="s">
        <v>311</v>
      </c>
      <c r="C332" s="108">
        <v>1.9</v>
      </c>
      <c r="D332" s="238">
        <v>5</v>
      </c>
      <c r="E332" s="239">
        <f t="shared" si="7"/>
        <v>9.5</v>
      </c>
      <c r="F332" s="52"/>
      <c r="G332" s="35"/>
    </row>
    <row r="333" spans="1:7" ht="15" customHeight="1" thickBot="1">
      <c r="A333" s="477"/>
      <c r="B333" s="476"/>
      <c r="C333" s="34"/>
      <c r="D333" s="202" t="s">
        <v>2</v>
      </c>
      <c r="E333" s="212">
        <f>SUM(E323:E332)</f>
        <v>26.6</v>
      </c>
      <c r="F333" s="52"/>
      <c r="G333" s="35"/>
    </row>
    <row r="334" spans="1:7" ht="15" customHeight="1" thickBot="1">
      <c r="A334" s="47"/>
      <c r="B334" s="34"/>
      <c r="C334" s="34"/>
      <c r="D334" s="34"/>
      <c r="E334" s="45"/>
      <c r="F334" s="34"/>
      <c r="G334" s="61" t="s">
        <v>32</v>
      </c>
    </row>
    <row r="335" spans="1:7" ht="15" customHeight="1" thickBot="1">
      <c r="A335" s="80" t="s">
        <v>74</v>
      </c>
      <c r="B335" s="545" t="str">
        <f>Planilha!C46</f>
        <v>CONTRAVERGA PRÉ-MOLDADA PARA VÃOS DE ATÉ 1,5 M DE COMPRIMENTO. AF_03/2016</v>
      </c>
      <c r="C335" s="546"/>
      <c r="D335" s="546"/>
      <c r="E335" s="547"/>
      <c r="F335" s="81">
        <f>E348</f>
        <v>26.6</v>
      </c>
      <c r="G335" s="80" t="s">
        <v>25</v>
      </c>
    </row>
    <row r="336" spans="1:7" ht="15" customHeight="1">
      <c r="A336" s="65"/>
      <c r="B336" s="34"/>
      <c r="C336" s="34"/>
      <c r="D336" s="34"/>
      <c r="E336" s="45"/>
      <c r="F336" s="34"/>
      <c r="G336" s="35"/>
    </row>
    <row r="337" spans="1:7" ht="15" customHeight="1">
      <c r="A337" s="477"/>
      <c r="B337" s="114" t="s">
        <v>20</v>
      </c>
      <c r="C337" s="204" t="s">
        <v>26</v>
      </c>
      <c r="D337" s="114" t="s">
        <v>24</v>
      </c>
      <c r="E337" s="114" t="s">
        <v>35</v>
      </c>
      <c r="F337" s="52"/>
      <c r="G337" s="35"/>
    </row>
    <row r="338" spans="1:7" ht="15" customHeight="1">
      <c r="A338" s="477"/>
      <c r="B338" s="103" t="s">
        <v>226</v>
      </c>
      <c r="C338" s="108">
        <v>1.9</v>
      </c>
      <c r="D338" s="108">
        <v>1</v>
      </c>
      <c r="E338" s="107">
        <f>C338*D338</f>
        <v>1.9</v>
      </c>
      <c r="F338" s="52"/>
      <c r="G338" s="35"/>
    </row>
    <row r="339" spans="1:7" ht="15" customHeight="1">
      <c r="A339" s="477"/>
      <c r="B339" s="103" t="s">
        <v>229</v>
      </c>
      <c r="C339" s="108">
        <v>1.9</v>
      </c>
      <c r="D339" s="108">
        <v>1</v>
      </c>
      <c r="E339" s="107">
        <f aca="true" t="shared" si="8" ref="E339:E347">C339*D339</f>
        <v>1.9</v>
      </c>
      <c r="F339" s="52"/>
      <c r="G339" s="35"/>
    </row>
    <row r="340" spans="1:8" ht="15.75" customHeight="1">
      <c r="A340" s="477"/>
      <c r="B340" s="103" t="s">
        <v>537</v>
      </c>
      <c r="C340" s="108">
        <v>1.9</v>
      </c>
      <c r="D340" s="108">
        <v>1</v>
      </c>
      <c r="E340" s="107">
        <f t="shared" si="8"/>
        <v>1.9</v>
      </c>
      <c r="F340" s="52"/>
      <c r="G340" s="35"/>
      <c r="H340" s="52"/>
    </row>
    <row r="341" spans="1:7" ht="12.75">
      <c r="A341" s="477"/>
      <c r="B341" s="103" t="s">
        <v>231</v>
      </c>
      <c r="C341" s="108">
        <v>1.9</v>
      </c>
      <c r="D341" s="108">
        <v>1</v>
      </c>
      <c r="E341" s="107">
        <f t="shared" si="8"/>
        <v>1.9</v>
      </c>
      <c r="F341" s="52"/>
      <c r="G341" s="35"/>
    </row>
    <row r="342" spans="1:7" ht="13.5" customHeight="1">
      <c r="A342" s="477"/>
      <c r="B342" s="103" t="s">
        <v>224</v>
      </c>
      <c r="C342" s="108">
        <v>1.9</v>
      </c>
      <c r="D342" s="108">
        <v>1</v>
      </c>
      <c r="E342" s="107">
        <f t="shared" si="8"/>
        <v>1.9</v>
      </c>
      <c r="F342" s="52"/>
      <c r="G342" s="35"/>
    </row>
    <row r="343" spans="1:7" ht="12.75">
      <c r="A343" s="477"/>
      <c r="B343" s="103" t="s">
        <v>234</v>
      </c>
      <c r="C343" s="108">
        <v>1.9</v>
      </c>
      <c r="D343" s="108">
        <v>1</v>
      </c>
      <c r="E343" s="107">
        <f t="shared" si="8"/>
        <v>1.9</v>
      </c>
      <c r="F343" s="52"/>
      <c r="G343" s="35"/>
    </row>
    <row r="344" spans="1:7" ht="15" customHeight="1">
      <c r="A344" s="477"/>
      <c r="B344" s="103" t="s">
        <v>240</v>
      </c>
      <c r="C344" s="108">
        <v>1.9</v>
      </c>
      <c r="D344" s="108">
        <v>1</v>
      </c>
      <c r="E344" s="107">
        <f t="shared" si="8"/>
        <v>1.9</v>
      </c>
      <c r="F344" s="52"/>
      <c r="G344" s="35"/>
    </row>
    <row r="345" spans="1:7" ht="15" customHeight="1">
      <c r="A345" s="477"/>
      <c r="B345" s="103" t="s">
        <v>225</v>
      </c>
      <c r="C345" s="108">
        <v>1.9</v>
      </c>
      <c r="D345" s="108">
        <v>1</v>
      </c>
      <c r="E345" s="107">
        <f t="shared" si="8"/>
        <v>1.9</v>
      </c>
      <c r="F345" s="52"/>
      <c r="G345" s="35"/>
    </row>
    <row r="346" spans="1:7" ht="15" customHeight="1">
      <c r="A346" s="477"/>
      <c r="B346" s="103" t="s">
        <v>223</v>
      </c>
      <c r="C346" s="108">
        <v>1.9</v>
      </c>
      <c r="D346" s="108">
        <v>1</v>
      </c>
      <c r="E346" s="107">
        <f t="shared" si="8"/>
        <v>1.9</v>
      </c>
      <c r="F346" s="52"/>
      <c r="G346" s="35"/>
    </row>
    <row r="347" spans="1:7" ht="15" customHeight="1" thickBot="1">
      <c r="A347" s="477"/>
      <c r="B347" s="103" t="s">
        <v>311</v>
      </c>
      <c r="C347" s="108">
        <v>1.9</v>
      </c>
      <c r="D347" s="238">
        <v>5</v>
      </c>
      <c r="E347" s="239">
        <f t="shared" si="8"/>
        <v>9.5</v>
      </c>
      <c r="F347" s="52"/>
      <c r="G347" s="35"/>
    </row>
    <row r="348" spans="1:7" ht="15" customHeight="1" thickBot="1">
      <c r="A348" s="477"/>
      <c r="B348" s="476"/>
      <c r="C348" s="34"/>
      <c r="D348" s="202" t="s">
        <v>2</v>
      </c>
      <c r="E348" s="212">
        <f>SUM(E338:E347)</f>
        <v>26.6</v>
      </c>
      <c r="F348" s="52"/>
      <c r="G348" s="35"/>
    </row>
    <row r="349" spans="1:7" ht="15" customHeight="1">
      <c r="A349" s="477"/>
      <c r="B349" s="476"/>
      <c r="C349" s="34"/>
      <c r="D349" s="481"/>
      <c r="E349" s="37"/>
      <c r="F349" s="52"/>
      <c r="G349" s="35"/>
    </row>
    <row r="350" spans="1:7" ht="15" customHeight="1" thickBot="1">
      <c r="A350" s="47"/>
      <c r="B350" s="34"/>
      <c r="C350" s="34"/>
      <c r="D350" s="34"/>
      <c r="E350" s="45"/>
      <c r="F350" s="34"/>
      <c r="G350" s="61" t="s">
        <v>32</v>
      </c>
    </row>
    <row r="351" spans="1:7" ht="15" customHeight="1" thickBot="1">
      <c r="A351" s="80" t="s">
        <v>352</v>
      </c>
      <c r="B351" s="545" t="str">
        <f>Planilha!C47</f>
        <v>VERGA PRÉ-MOLDADA PARA PORTAS COM ATÉ 1,5 M DE VÃO. AF_03/2016</v>
      </c>
      <c r="C351" s="546"/>
      <c r="D351" s="546"/>
      <c r="E351" s="547"/>
      <c r="F351" s="81">
        <f>E375</f>
        <v>27.6</v>
      </c>
      <c r="G351" s="80" t="s">
        <v>25</v>
      </c>
    </row>
    <row r="352" spans="1:7" ht="15" customHeight="1">
      <c r="A352" s="65"/>
      <c r="B352" s="34"/>
      <c r="C352" s="34"/>
      <c r="D352" s="34"/>
      <c r="E352" s="45"/>
      <c r="F352" s="34"/>
      <c r="G352" s="35"/>
    </row>
    <row r="353" spans="1:7" ht="15" customHeight="1">
      <c r="A353" s="477"/>
      <c r="B353" s="114" t="s">
        <v>20</v>
      </c>
      <c r="C353" s="204" t="s">
        <v>26</v>
      </c>
      <c r="D353" s="114" t="s">
        <v>24</v>
      </c>
      <c r="E353" s="114" t="s">
        <v>35</v>
      </c>
      <c r="F353" s="52"/>
      <c r="G353" s="35"/>
    </row>
    <row r="354" spans="1:7" ht="15" customHeight="1">
      <c r="A354" s="477"/>
      <c r="B354" s="103" t="s">
        <v>226</v>
      </c>
      <c r="C354" s="108">
        <v>1.15</v>
      </c>
      <c r="D354" s="108">
        <v>1</v>
      </c>
      <c r="E354" s="107">
        <f aca="true" t="shared" si="9" ref="E354:E365">C354*D354</f>
        <v>1.15</v>
      </c>
      <c r="F354" s="52"/>
      <c r="G354" s="35"/>
    </row>
    <row r="355" spans="1:7" ht="15" customHeight="1">
      <c r="A355" s="477"/>
      <c r="B355" s="103" t="s">
        <v>229</v>
      </c>
      <c r="C355" s="108">
        <v>1.15</v>
      </c>
      <c r="D355" s="108">
        <v>1</v>
      </c>
      <c r="E355" s="107">
        <f t="shared" si="9"/>
        <v>1.15</v>
      </c>
      <c r="F355" s="52"/>
      <c r="G355" s="35"/>
    </row>
    <row r="356" spans="1:8" ht="15.75" customHeight="1">
      <c r="A356" s="477"/>
      <c r="B356" s="103" t="s">
        <v>537</v>
      </c>
      <c r="C356" s="108">
        <v>1.15</v>
      </c>
      <c r="D356" s="108">
        <v>1</v>
      </c>
      <c r="E356" s="107">
        <f t="shared" si="9"/>
        <v>1.15</v>
      </c>
      <c r="F356" s="52"/>
      <c r="G356" s="35"/>
      <c r="H356" s="436"/>
    </row>
    <row r="357" spans="1:7" ht="12.75">
      <c r="A357" s="477"/>
      <c r="B357" s="103" t="s">
        <v>231</v>
      </c>
      <c r="C357" s="108">
        <v>1.15</v>
      </c>
      <c r="D357" s="108">
        <v>1</v>
      </c>
      <c r="E357" s="107">
        <f t="shared" si="9"/>
        <v>1.15</v>
      </c>
      <c r="F357" s="52"/>
      <c r="G357" s="35"/>
    </row>
    <row r="358" spans="1:7" ht="13.5" customHeight="1">
      <c r="A358" s="477"/>
      <c r="B358" s="103" t="s">
        <v>273</v>
      </c>
      <c r="C358" s="108">
        <v>1.15</v>
      </c>
      <c r="D358" s="108">
        <v>2</v>
      </c>
      <c r="E358" s="107">
        <f>C358*D358</f>
        <v>2.3</v>
      </c>
      <c r="F358" s="52"/>
      <c r="G358" s="35"/>
    </row>
    <row r="359" spans="1:7" ht="12.75">
      <c r="A359" s="477"/>
      <c r="B359" s="103" t="s">
        <v>224</v>
      </c>
      <c r="C359" s="108">
        <v>1.15</v>
      </c>
      <c r="D359" s="108">
        <v>1</v>
      </c>
      <c r="E359" s="107">
        <f t="shared" si="9"/>
        <v>1.15</v>
      </c>
      <c r="F359" s="52"/>
      <c r="G359" s="35"/>
    </row>
    <row r="360" spans="1:7" ht="15" customHeight="1">
      <c r="A360" s="477"/>
      <c r="B360" s="103" t="s">
        <v>530</v>
      </c>
      <c r="C360" s="108">
        <v>1.15</v>
      </c>
      <c r="D360" s="108">
        <v>1</v>
      </c>
      <c r="E360" s="107">
        <f t="shared" si="9"/>
        <v>1.15</v>
      </c>
      <c r="F360" s="52"/>
      <c r="G360" s="35"/>
    </row>
    <row r="361" spans="1:7" ht="15" customHeight="1">
      <c r="A361" s="477"/>
      <c r="B361" s="103" t="s">
        <v>234</v>
      </c>
      <c r="C361" s="108">
        <v>1.15</v>
      </c>
      <c r="D361" s="108">
        <v>1</v>
      </c>
      <c r="E361" s="107">
        <f t="shared" si="9"/>
        <v>1.15</v>
      </c>
      <c r="F361" s="52"/>
      <c r="G361" s="35"/>
    </row>
    <row r="362" spans="1:7" ht="15" customHeight="1">
      <c r="A362" s="477"/>
      <c r="B362" s="103" t="s">
        <v>221</v>
      </c>
      <c r="C362" s="108">
        <v>1.15</v>
      </c>
      <c r="D362" s="108">
        <v>1</v>
      </c>
      <c r="E362" s="107">
        <f t="shared" si="9"/>
        <v>1.15</v>
      </c>
      <c r="F362" s="52"/>
      <c r="G362" s="35"/>
    </row>
    <row r="363" spans="1:7" ht="15" customHeight="1">
      <c r="A363" s="477"/>
      <c r="B363" s="103" t="s">
        <v>240</v>
      </c>
      <c r="C363" s="108">
        <v>1.15</v>
      </c>
      <c r="D363" s="108">
        <v>1</v>
      </c>
      <c r="E363" s="107">
        <f t="shared" si="9"/>
        <v>1.15</v>
      </c>
      <c r="F363" s="52"/>
      <c r="G363" s="35"/>
    </row>
    <row r="364" spans="1:7" ht="15" customHeight="1">
      <c r="A364" s="477"/>
      <c r="B364" s="103" t="s">
        <v>225</v>
      </c>
      <c r="C364" s="108">
        <v>1.15</v>
      </c>
      <c r="D364" s="108">
        <v>1</v>
      </c>
      <c r="E364" s="107">
        <f t="shared" si="9"/>
        <v>1.15</v>
      </c>
      <c r="F364" s="52"/>
      <c r="G364" s="35"/>
    </row>
    <row r="365" spans="1:7" ht="15" customHeight="1">
      <c r="A365" s="477"/>
      <c r="B365" s="103" t="s">
        <v>536</v>
      </c>
      <c r="C365" s="108">
        <v>1.15</v>
      </c>
      <c r="D365" s="108">
        <v>1</v>
      </c>
      <c r="E365" s="107">
        <f t="shared" si="9"/>
        <v>1.15</v>
      </c>
      <c r="F365" s="52"/>
      <c r="G365" s="35"/>
    </row>
    <row r="366" spans="1:7" ht="15" customHeight="1">
      <c r="A366" s="477"/>
      <c r="B366" s="103" t="s">
        <v>274</v>
      </c>
      <c r="C366" s="108">
        <v>2.3</v>
      </c>
      <c r="D366" s="108">
        <v>1</v>
      </c>
      <c r="E366" s="107">
        <f aca="true" t="shared" si="10" ref="E366:E374">C366*D366</f>
        <v>2.3</v>
      </c>
      <c r="F366" s="52"/>
      <c r="G366" s="35"/>
    </row>
    <row r="367" spans="1:7" ht="15" customHeight="1">
      <c r="A367" s="477"/>
      <c r="B367" s="103" t="s">
        <v>275</v>
      </c>
      <c r="C367" s="108">
        <v>1.15</v>
      </c>
      <c r="D367" s="108">
        <v>1</v>
      </c>
      <c r="E367" s="107">
        <f t="shared" si="10"/>
        <v>1.15</v>
      </c>
      <c r="F367" s="52"/>
      <c r="G367" s="35"/>
    </row>
    <row r="368" spans="1:7" ht="15" customHeight="1">
      <c r="A368" s="477"/>
      <c r="B368" s="103" t="s">
        <v>219</v>
      </c>
      <c r="C368" s="108">
        <v>1.15</v>
      </c>
      <c r="D368" s="108">
        <v>1</v>
      </c>
      <c r="E368" s="107">
        <f t="shared" si="10"/>
        <v>1.15</v>
      </c>
      <c r="F368" s="52"/>
      <c r="G368" s="35"/>
    </row>
    <row r="369" spans="1:7" ht="15" customHeight="1">
      <c r="A369" s="477"/>
      <c r="B369" s="109" t="s">
        <v>223</v>
      </c>
      <c r="C369" s="108">
        <v>1.15</v>
      </c>
      <c r="D369" s="108">
        <v>2</v>
      </c>
      <c r="E369" s="107">
        <f t="shared" si="10"/>
        <v>2.3</v>
      </c>
      <c r="F369" s="52"/>
      <c r="G369" s="35"/>
    </row>
    <row r="370" spans="1:7" ht="15" customHeight="1">
      <c r="A370" s="477"/>
      <c r="B370" s="109" t="s">
        <v>235</v>
      </c>
      <c r="C370" s="108">
        <v>1.15</v>
      </c>
      <c r="D370" s="108">
        <v>1</v>
      </c>
      <c r="E370" s="107">
        <f t="shared" si="10"/>
        <v>1.15</v>
      </c>
      <c r="F370" s="52"/>
      <c r="G370" s="35"/>
    </row>
    <row r="371" spans="1:7" ht="15" customHeight="1">
      <c r="A371" s="477"/>
      <c r="B371" s="109" t="s">
        <v>270</v>
      </c>
      <c r="C371" s="108">
        <v>1.15</v>
      </c>
      <c r="D371" s="108">
        <v>1</v>
      </c>
      <c r="E371" s="107">
        <f t="shared" si="10"/>
        <v>1.15</v>
      </c>
      <c r="F371" s="52"/>
      <c r="G371" s="35"/>
    </row>
    <row r="372" spans="1:7" ht="15" customHeight="1">
      <c r="A372" s="477"/>
      <c r="B372" s="109" t="s">
        <v>287</v>
      </c>
      <c r="C372" s="108">
        <v>1.15</v>
      </c>
      <c r="D372" s="238">
        <v>1</v>
      </c>
      <c r="E372" s="239">
        <f t="shared" si="10"/>
        <v>1.15</v>
      </c>
      <c r="F372" s="52"/>
      <c r="G372" s="35"/>
    </row>
    <row r="373" spans="1:7" ht="15" customHeight="1">
      <c r="A373" s="477"/>
      <c r="B373" s="246" t="s">
        <v>236</v>
      </c>
      <c r="C373" s="238">
        <v>1.15</v>
      </c>
      <c r="D373" s="238">
        <v>1</v>
      </c>
      <c r="E373" s="239">
        <f t="shared" si="10"/>
        <v>1.15</v>
      </c>
      <c r="F373" s="52"/>
      <c r="G373" s="35"/>
    </row>
    <row r="374" spans="1:7" ht="15" customHeight="1" thickBot="1">
      <c r="A374" s="477"/>
      <c r="B374" s="109" t="s">
        <v>311</v>
      </c>
      <c r="C374" s="108">
        <v>1.15</v>
      </c>
      <c r="D374" s="238">
        <v>1</v>
      </c>
      <c r="E374" s="239">
        <f t="shared" si="10"/>
        <v>1.15</v>
      </c>
      <c r="F374" s="52"/>
      <c r="G374" s="35"/>
    </row>
    <row r="375" spans="1:7" ht="15" customHeight="1" thickBot="1">
      <c r="A375" s="477"/>
      <c r="B375" s="476"/>
      <c r="C375" s="38"/>
      <c r="D375" s="202" t="s">
        <v>2</v>
      </c>
      <c r="E375" s="212">
        <f>SUM(E354:E374)</f>
        <v>27.6</v>
      </c>
      <c r="F375" s="52"/>
      <c r="G375" s="35"/>
    </row>
    <row r="376" spans="1:7" ht="15" customHeight="1" thickBot="1">
      <c r="A376" s="477"/>
      <c r="B376" s="476"/>
      <c r="C376" s="34"/>
      <c r="D376" s="481"/>
      <c r="E376" s="37"/>
      <c r="F376" s="52"/>
      <c r="G376" s="35"/>
    </row>
    <row r="377" spans="1:7" ht="41.25" customHeight="1" thickBot="1">
      <c r="A377" s="80" t="s">
        <v>428</v>
      </c>
      <c r="B377" s="545" t="str">
        <f>Planilha!C48</f>
        <v>COSTURA DE TRINCA COM GRAMPO, BARRA DE AÇO CA-50 Ø8,0MM, COMPRIMENTO TOTAL 40CM, ESPAÇAMENTO DE 15CM, INCLUSIVE CORTE, DOBRA E ARGAMASSA, TRAÇO 1:4 (CIMENTO E AREIA), PREPARO MECÂNICO</v>
      </c>
      <c r="C377" s="546"/>
      <c r="D377" s="546"/>
      <c r="E377" s="547"/>
      <c r="F377" s="81">
        <f>E381</f>
        <v>18</v>
      </c>
      <c r="G377" s="80" t="s">
        <v>25</v>
      </c>
    </row>
    <row r="378" spans="1:7" ht="15" customHeight="1">
      <c r="A378" s="65"/>
      <c r="B378" s="34"/>
      <c r="C378" s="34"/>
      <c r="D378" s="34"/>
      <c r="E378" s="45"/>
      <c r="F378" s="34"/>
      <c r="G378" s="35"/>
    </row>
    <row r="379" spans="1:7" ht="15" customHeight="1">
      <c r="A379" s="477"/>
      <c r="B379" s="114" t="s">
        <v>20</v>
      </c>
      <c r="C379" s="114" t="s">
        <v>22</v>
      </c>
      <c r="D379" s="114" t="s">
        <v>24</v>
      </c>
      <c r="E379" s="114" t="s">
        <v>35</v>
      </c>
      <c r="F379" s="52"/>
      <c r="G379" s="35"/>
    </row>
    <row r="380" spans="1:7" ht="15" customHeight="1" thickBot="1">
      <c r="A380" s="477"/>
      <c r="B380" s="103"/>
      <c r="C380" s="108">
        <v>3</v>
      </c>
      <c r="D380" s="111">
        <v>6</v>
      </c>
      <c r="E380" s="107">
        <f>C380*D380</f>
        <v>18</v>
      </c>
      <c r="F380" s="52"/>
      <c r="G380" s="35"/>
    </row>
    <row r="381" spans="1:11" ht="15" customHeight="1" thickBot="1">
      <c r="A381" s="477"/>
      <c r="B381" s="476"/>
      <c r="C381" s="34"/>
      <c r="D381" s="78" t="s">
        <v>2</v>
      </c>
      <c r="E381" s="287">
        <f>SUM(E380)</f>
        <v>18</v>
      </c>
      <c r="F381" s="52"/>
      <c r="G381" s="35"/>
      <c r="I381" s="52"/>
      <c r="J381" s="52"/>
      <c r="K381" s="52"/>
    </row>
    <row r="382" spans="1:11" ht="15" customHeight="1" thickBot="1">
      <c r="A382" s="47"/>
      <c r="B382" s="34"/>
      <c r="C382" s="34"/>
      <c r="D382" s="34"/>
      <c r="E382" s="45"/>
      <c r="F382" s="34"/>
      <c r="G382" s="61" t="s">
        <v>32</v>
      </c>
      <c r="I382" s="52"/>
      <c r="J382" s="52"/>
      <c r="K382" s="52"/>
    </row>
    <row r="383" spans="1:11" ht="13.5" thickBot="1">
      <c r="A383" s="79">
        <v>6</v>
      </c>
      <c r="B383" s="562" t="s">
        <v>3</v>
      </c>
      <c r="C383" s="563"/>
      <c r="D383" s="563"/>
      <c r="E383" s="563"/>
      <c r="F383" s="563"/>
      <c r="G383" s="575"/>
      <c r="I383" s="52"/>
      <c r="J383" s="52"/>
      <c r="K383" s="52"/>
    </row>
    <row r="384" spans="1:11" ht="13.5" customHeight="1" thickBot="1">
      <c r="A384" s="48"/>
      <c r="B384" s="34"/>
      <c r="C384" s="34"/>
      <c r="D384" s="34"/>
      <c r="E384" s="45"/>
      <c r="F384" s="34"/>
      <c r="G384" s="61"/>
      <c r="I384" s="52"/>
      <c r="J384" s="52"/>
      <c r="K384" s="52"/>
    </row>
    <row r="385" spans="1:11" ht="13.5" thickBot="1">
      <c r="A385" s="80" t="s">
        <v>28</v>
      </c>
      <c r="B385" s="545" t="str">
        <f>Planilha!C50</f>
        <v>JANELA DE AÇO DE CORRER COM 4 FOLHAS PARA VIDRO, COM BATENTE, FERRAGENS E PINTURA ANTICORROSIVA. EXCLUSIVE VIDROS, ALIZAR E CONTRAMARCO. FOR
 NECIMENTO E INSTALAÇÃO. AF_12/2019</v>
      </c>
      <c r="C385" s="546"/>
      <c r="D385" s="546"/>
      <c r="E385" s="547"/>
      <c r="F385" s="81">
        <f>F391</f>
        <v>11.76</v>
      </c>
      <c r="G385" s="80" t="s">
        <v>107</v>
      </c>
      <c r="I385" s="52"/>
      <c r="J385" s="52"/>
      <c r="K385" s="52"/>
    </row>
    <row r="386" spans="1:11" ht="15" customHeight="1">
      <c r="A386" s="33"/>
      <c r="B386" s="481"/>
      <c r="C386" s="37"/>
      <c r="D386" s="34"/>
      <c r="E386" s="45"/>
      <c r="F386" s="34"/>
      <c r="G386" s="35"/>
      <c r="I386" s="52"/>
      <c r="J386" s="52"/>
      <c r="K386" s="52"/>
    </row>
    <row r="387" spans="1:7" ht="15" customHeight="1">
      <c r="A387" s="33"/>
      <c r="B387" s="114" t="s">
        <v>20</v>
      </c>
      <c r="C387" s="114" t="s">
        <v>21</v>
      </c>
      <c r="D387" s="114" t="s">
        <v>22</v>
      </c>
      <c r="E387" s="114" t="s">
        <v>24</v>
      </c>
      <c r="F387" s="114" t="s">
        <v>23</v>
      </c>
      <c r="G387" s="55"/>
    </row>
    <row r="388" spans="1:7" ht="12.75">
      <c r="A388" s="33"/>
      <c r="B388" s="103" t="s">
        <v>234</v>
      </c>
      <c r="C388" s="108">
        <v>1.4</v>
      </c>
      <c r="D388" s="108">
        <v>1.2</v>
      </c>
      <c r="E388" s="109">
        <v>1</v>
      </c>
      <c r="F388" s="108">
        <f>C388*D388*E388</f>
        <v>1.68</v>
      </c>
      <c r="G388" s="55"/>
    </row>
    <row r="389" spans="1:7" ht="12.75">
      <c r="A389" s="33"/>
      <c r="B389" s="103" t="s">
        <v>240</v>
      </c>
      <c r="C389" s="108">
        <v>1.4</v>
      </c>
      <c r="D389" s="108">
        <v>1.2</v>
      </c>
      <c r="E389" s="109">
        <v>1</v>
      </c>
      <c r="F389" s="108">
        <f>C389*D389*E389</f>
        <v>1.68</v>
      </c>
      <c r="G389" s="55"/>
    </row>
    <row r="390" spans="1:7" ht="15" customHeight="1" thickBot="1">
      <c r="A390" s="33"/>
      <c r="B390" s="103" t="s">
        <v>311</v>
      </c>
      <c r="C390" s="108">
        <v>1.4</v>
      </c>
      <c r="D390" s="108">
        <v>1.2</v>
      </c>
      <c r="E390" s="246">
        <v>5</v>
      </c>
      <c r="F390" s="238">
        <f>C390*D390*E390</f>
        <v>8.4</v>
      </c>
      <c r="G390" s="55"/>
    </row>
    <row r="391" spans="1:7" ht="13.5" thickBot="1">
      <c r="A391" s="33"/>
      <c r="B391" s="481"/>
      <c r="C391" s="37"/>
      <c r="D391" s="34"/>
      <c r="E391" s="78" t="s">
        <v>2</v>
      </c>
      <c r="F391" s="212">
        <f>SUM(F388:F390)</f>
        <v>11.76</v>
      </c>
      <c r="G391" s="67"/>
    </row>
    <row r="392" spans="1:7" ht="13.5" thickBot="1">
      <c r="A392" s="33"/>
      <c r="B392" s="532"/>
      <c r="C392" s="37"/>
      <c r="D392" s="34"/>
      <c r="E392" s="229"/>
      <c r="F392" s="212"/>
      <c r="G392" s="67"/>
    </row>
    <row r="393" spans="1:7" ht="34.5" customHeight="1" thickBot="1">
      <c r="A393" s="80" t="s">
        <v>340</v>
      </c>
      <c r="B393" s="545" t="str">
        <f>Planilha!C51</f>
        <v>FORNECIMENTO E ASSENTAMENTO DE JANELA EM FERRO, TIPO
MAXIM-AR, INCLUSIVE FERRAGENS E ACESSÓRIOS</v>
      </c>
      <c r="C393" s="546"/>
      <c r="D393" s="546"/>
      <c r="E393" s="547"/>
      <c r="F393" s="81">
        <f>F398</f>
        <v>1.8</v>
      </c>
      <c r="G393" s="80" t="s">
        <v>107</v>
      </c>
    </row>
    <row r="394" spans="1:7" ht="12.75">
      <c r="A394" s="33"/>
      <c r="B394" s="532"/>
      <c r="C394" s="37"/>
      <c r="D394" s="34"/>
      <c r="E394" s="45"/>
      <c r="F394" s="34"/>
      <c r="G394" s="35"/>
    </row>
    <row r="395" spans="1:7" ht="12.75">
      <c r="A395" s="33"/>
      <c r="B395" s="114" t="s">
        <v>20</v>
      </c>
      <c r="C395" s="114" t="s">
        <v>21</v>
      </c>
      <c r="D395" s="114" t="s">
        <v>22</v>
      </c>
      <c r="E395" s="114" t="s">
        <v>24</v>
      </c>
      <c r="F395" s="114" t="s">
        <v>23</v>
      </c>
      <c r="G395" s="55"/>
    </row>
    <row r="396" spans="1:8" ht="12.75">
      <c r="A396" s="33"/>
      <c r="B396" s="103" t="s">
        <v>269</v>
      </c>
      <c r="C396" s="108">
        <v>1</v>
      </c>
      <c r="D396" s="108">
        <v>0.6</v>
      </c>
      <c r="E396" s="109">
        <v>2</v>
      </c>
      <c r="F396" s="108">
        <f>C396*D396*E396</f>
        <v>1.2</v>
      </c>
      <c r="G396" s="55"/>
      <c r="H396" s="52"/>
    </row>
    <row r="397" spans="1:7" ht="13.5" thickBot="1">
      <c r="A397" s="33"/>
      <c r="B397" s="103" t="s">
        <v>221</v>
      </c>
      <c r="C397" s="108">
        <v>1</v>
      </c>
      <c r="D397" s="108">
        <v>0.6</v>
      </c>
      <c r="E397" s="109">
        <v>1</v>
      </c>
      <c r="F397" s="108">
        <f>C397*D397*E397</f>
        <v>0.6</v>
      </c>
      <c r="G397" s="55"/>
    </row>
    <row r="398" spans="1:7" ht="13.5" thickBot="1">
      <c r="A398" s="33"/>
      <c r="B398" s="532"/>
      <c r="C398" s="37"/>
      <c r="D398" s="34"/>
      <c r="E398" s="78" t="s">
        <v>2</v>
      </c>
      <c r="F398" s="212">
        <f>SUM(F395:F397)</f>
        <v>1.8</v>
      </c>
      <c r="G398" s="55"/>
    </row>
    <row r="399" spans="1:7" ht="13.5" thickBot="1">
      <c r="A399" s="33"/>
      <c r="B399" s="532"/>
      <c r="C399" s="37"/>
      <c r="D399" s="34"/>
      <c r="E399" s="45"/>
      <c r="F399" s="45"/>
      <c r="G399" s="39"/>
    </row>
    <row r="400" spans="1:7" ht="13.5" customHeight="1" thickBot="1">
      <c r="A400" s="80" t="s">
        <v>415</v>
      </c>
      <c r="B400" s="545" t="str">
        <f>Planilha!C52</f>
        <v>VIDRO COMUM LISO INCOLOR, ESP. 4MM, INCLUSIVE FIXAÇÃO E VEDAÇÃO COM GUARNIÇÃO/GAXETA DE BORRACHA NEOPRENE, FORNECIMENTO E INSTALAÇÃO, EXCLUSIVE CAIXILHO/PERFIL</v>
      </c>
      <c r="C400" s="546"/>
      <c r="D400" s="546"/>
      <c r="E400" s="547"/>
      <c r="F400" s="81">
        <f>F408</f>
        <v>13.56</v>
      </c>
      <c r="G400" s="80" t="s">
        <v>107</v>
      </c>
    </row>
    <row r="401" spans="1:7" ht="12.75">
      <c r="A401" s="33"/>
      <c r="B401" s="481"/>
      <c r="C401" s="37"/>
      <c r="D401" s="34"/>
      <c r="E401" s="45"/>
      <c r="F401" s="45"/>
      <c r="G401" s="39"/>
    </row>
    <row r="402" spans="1:7" ht="12.75">
      <c r="A402" s="33"/>
      <c r="B402" s="114" t="s">
        <v>20</v>
      </c>
      <c r="C402" s="114" t="s">
        <v>21</v>
      </c>
      <c r="D402" s="114" t="s">
        <v>22</v>
      </c>
      <c r="E402" s="114" t="s">
        <v>24</v>
      </c>
      <c r="F402" s="114" t="s">
        <v>23</v>
      </c>
      <c r="G402" s="39"/>
    </row>
    <row r="403" spans="1:7" ht="12.75">
      <c r="A403" s="33"/>
      <c r="B403" s="103" t="s">
        <v>269</v>
      </c>
      <c r="C403" s="108">
        <v>1</v>
      </c>
      <c r="D403" s="108">
        <v>0.6</v>
      </c>
      <c r="E403" s="109">
        <v>2</v>
      </c>
      <c r="F403" s="108">
        <f>C403*D403*E403</f>
        <v>1.2</v>
      </c>
      <c r="G403" s="39"/>
    </row>
    <row r="404" spans="1:7" ht="15" customHeight="1">
      <c r="A404" s="33"/>
      <c r="B404" s="103" t="s">
        <v>221</v>
      </c>
      <c r="C404" s="108">
        <v>1</v>
      </c>
      <c r="D404" s="108">
        <v>0.6</v>
      </c>
      <c r="E404" s="109">
        <v>1</v>
      </c>
      <c r="F404" s="108">
        <f>C404*D404*E404</f>
        <v>0.6</v>
      </c>
      <c r="G404" s="39"/>
    </row>
    <row r="405" spans="1:7" ht="12.75">
      <c r="A405" s="33"/>
      <c r="B405" s="103" t="s">
        <v>271</v>
      </c>
      <c r="C405" s="108">
        <v>1.4</v>
      </c>
      <c r="D405" s="108">
        <v>1.2</v>
      </c>
      <c r="E405" s="109">
        <v>1</v>
      </c>
      <c r="F405" s="108">
        <f>C405*D405*E405</f>
        <v>1.68</v>
      </c>
      <c r="G405" s="39"/>
    </row>
    <row r="406" spans="1:7" ht="12.75">
      <c r="A406" s="33"/>
      <c r="B406" s="103" t="s">
        <v>240</v>
      </c>
      <c r="C406" s="108">
        <v>1.4</v>
      </c>
      <c r="D406" s="108">
        <v>1.2</v>
      </c>
      <c r="E406" s="109">
        <v>1</v>
      </c>
      <c r="F406" s="108">
        <f>C406*D406*E406</f>
        <v>1.68</v>
      </c>
      <c r="G406" s="39"/>
    </row>
    <row r="407" spans="1:7" ht="13.5" thickBot="1">
      <c r="A407" s="33"/>
      <c r="B407" s="103" t="s">
        <v>311</v>
      </c>
      <c r="C407" s="108">
        <v>1.4</v>
      </c>
      <c r="D407" s="108">
        <v>1.2</v>
      </c>
      <c r="E407" s="246">
        <v>5</v>
      </c>
      <c r="F407" s="238">
        <f>C407*D407*E407</f>
        <v>8.4</v>
      </c>
      <c r="G407" s="39"/>
    </row>
    <row r="408" spans="1:7" ht="13.5" thickBot="1">
      <c r="A408" s="33"/>
      <c r="B408" s="481"/>
      <c r="C408" s="37"/>
      <c r="D408" s="34"/>
      <c r="E408" s="78" t="s">
        <v>2</v>
      </c>
      <c r="F408" s="212">
        <f>SUM(F403:F407)</f>
        <v>13.56</v>
      </c>
      <c r="G408" s="39"/>
    </row>
    <row r="409" spans="1:7" ht="13.5" thickBot="1">
      <c r="A409" s="33"/>
      <c r="B409" s="481"/>
      <c r="C409" s="37"/>
      <c r="D409" s="34"/>
      <c r="E409" s="45"/>
      <c r="F409" s="45"/>
      <c r="G409" s="39"/>
    </row>
    <row r="410" spans="1:7" ht="13.5" thickBot="1">
      <c r="A410" s="80" t="s">
        <v>416</v>
      </c>
      <c r="B410" s="545" t="str">
        <f>Planilha!C53</f>
        <v>KIT DE PORTA-PRONTA DE MADEIRA EM ACABAMENTO MELAMÍNICO BRANCO, FOLHA PESADA OU SUPERPESADA, 80X210CM, FIXAÇÃO COM PREENCHIMENTO PARCIAL DE
 ESPUMA EXPANSIVA - FORNECIMENTO E INSTALAÇÃO. AF_12/2019</v>
      </c>
      <c r="C410" s="594"/>
      <c r="D410" s="594"/>
      <c r="E410" s="595"/>
      <c r="F410" s="81">
        <f>F434</f>
        <v>22</v>
      </c>
      <c r="G410" s="80" t="s">
        <v>19</v>
      </c>
    </row>
    <row r="411" spans="1:7" ht="12.75">
      <c r="A411" s="33"/>
      <c r="B411" s="481"/>
      <c r="C411" s="37"/>
      <c r="D411" s="34"/>
      <c r="E411" s="45"/>
      <c r="F411" s="34"/>
      <c r="G411" s="35"/>
    </row>
    <row r="412" spans="1:7" ht="12.75">
      <c r="A412" s="53"/>
      <c r="B412" s="52"/>
      <c r="C412" s="261"/>
      <c r="D412" s="261"/>
      <c r="E412" s="114" t="s">
        <v>20</v>
      </c>
      <c r="F412" s="114" t="s">
        <v>353</v>
      </c>
      <c r="G412" s="35"/>
    </row>
    <row r="413" spans="1:7" ht="12.75">
      <c r="A413" s="53"/>
      <c r="B413" s="52"/>
      <c r="C413" s="38"/>
      <c r="D413" s="38"/>
      <c r="E413" s="106" t="s">
        <v>226</v>
      </c>
      <c r="F413" s="107">
        <v>1</v>
      </c>
      <c r="G413" s="35"/>
    </row>
    <row r="414" spans="1:7" ht="12.75">
      <c r="A414" s="53"/>
      <c r="B414" s="52"/>
      <c r="C414" s="38"/>
      <c r="D414" s="38"/>
      <c r="E414" s="106" t="s">
        <v>229</v>
      </c>
      <c r="F414" s="107">
        <v>1</v>
      </c>
      <c r="G414" s="35"/>
    </row>
    <row r="415" spans="1:7" ht="12.75">
      <c r="A415" s="53"/>
      <c r="B415" s="52"/>
      <c r="C415" s="38"/>
      <c r="D415" s="38"/>
      <c r="E415" s="92" t="s">
        <v>537</v>
      </c>
      <c r="F415" s="107">
        <v>1</v>
      </c>
      <c r="G415" s="35"/>
    </row>
    <row r="416" spans="1:7" ht="12.75">
      <c r="A416" s="53"/>
      <c r="B416" s="52"/>
      <c r="C416" s="38"/>
      <c r="D416" s="38"/>
      <c r="E416" s="106" t="s">
        <v>239</v>
      </c>
      <c r="F416" s="107">
        <v>1</v>
      </c>
      <c r="G416" s="35"/>
    </row>
    <row r="417" spans="1:7" ht="15.75" customHeight="1">
      <c r="A417" s="53"/>
      <c r="B417" s="52"/>
      <c r="C417" s="38"/>
      <c r="D417" s="38"/>
      <c r="E417" s="106" t="s">
        <v>291</v>
      </c>
      <c r="F417" s="107">
        <v>1</v>
      </c>
      <c r="G417" s="35"/>
    </row>
    <row r="418" spans="1:8" ht="18" customHeight="1">
      <c r="A418" s="53"/>
      <c r="B418" s="52"/>
      <c r="C418" s="38"/>
      <c r="D418" s="38"/>
      <c r="E418" s="106" t="s">
        <v>292</v>
      </c>
      <c r="F418" s="107">
        <v>1</v>
      </c>
      <c r="G418" s="35"/>
      <c r="H418" s="34"/>
    </row>
    <row r="419" spans="1:9" ht="14.25" customHeight="1">
      <c r="A419" s="53"/>
      <c r="B419" s="52"/>
      <c r="C419" s="45"/>
      <c r="D419" s="45"/>
      <c r="E419" s="92" t="s">
        <v>224</v>
      </c>
      <c r="F419" s="107">
        <v>1</v>
      </c>
      <c r="G419" s="35"/>
      <c r="H419" s="34"/>
      <c r="I419" s="52"/>
    </row>
    <row r="420" spans="1:9" ht="14.25" customHeight="1">
      <c r="A420" s="53"/>
      <c r="B420" s="52"/>
      <c r="C420" s="45"/>
      <c r="D420" s="45"/>
      <c r="E420" s="92" t="s">
        <v>542</v>
      </c>
      <c r="F420" s="107">
        <v>1</v>
      </c>
      <c r="G420" s="35"/>
      <c r="H420" s="34"/>
      <c r="I420" s="52"/>
    </row>
    <row r="421" spans="1:9" ht="14.25" customHeight="1">
      <c r="A421" s="53"/>
      <c r="B421" s="52"/>
      <c r="C421" s="45"/>
      <c r="D421" s="45"/>
      <c r="E421" s="92" t="s">
        <v>234</v>
      </c>
      <c r="F421" s="107">
        <v>1</v>
      </c>
      <c r="G421" s="35"/>
      <c r="H421" s="34"/>
      <c r="I421" s="52"/>
    </row>
    <row r="422" spans="1:9" ht="14.25" customHeight="1">
      <c r="A422" s="53"/>
      <c r="B422" s="52"/>
      <c r="C422" s="45"/>
      <c r="D422" s="45"/>
      <c r="E422" s="92" t="s">
        <v>221</v>
      </c>
      <c r="F422" s="107">
        <v>1</v>
      </c>
      <c r="G422" s="35"/>
      <c r="H422" s="34"/>
      <c r="I422" s="52"/>
    </row>
    <row r="423" spans="1:9" ht="14.25" customHeight="1">
      <c r="A423" s="53"/>
      <c r="B423" s="52"/>
      <c r="C423" s="45"/>
      <c r="D423" s="45"/>
      <c r="E423" s="92" t="s">
        <v>240</v>
      </c>
      <c r="F423" s="107">
        <v>1</v>
      </c>
      <c r="G423" s="35"/>
      <c r="H423" s="34"/>
      <c r="I423" s="52"/>
    </row>
    <row r="424" spans="1:9" ht="14.25" customHeight="1">
      <c r="A424" s="33"/>
      <c r="B424" s="52"/>
      <c r="C424" s="45"/>
      <c r="D424" s="45"/>
      <c r="E424" s="92" t="s">
        <v>225</v>
      </c>
      <c r="F424" s="112">
        <v>1</v>
      </c>
      <c r="G424" s="35"/>
      <c r="H424" s="34"/>
      <c r="I424" s="52"/>
    </row>
    <row r="425" spans="1:9" ht="14.25" customHeight="1">
      <c r="A425" s="33"/>
      <c r="B425" s="52"/>
      <c r="C425" s="45"/>
      <c r="D425" s="45"/>
      <c r="E425" s="92" t="s">
        <v>536</v>
      </c>
      <c r="F425" s="112">
        <v>1</v>
      </c>
      <c r="G425" s="35"/>
      <c r="H425" s="34"/>
      <c r="I425" s="52"/>
    </row>
    <row r="426" spans="1:9" ht="14.25" customHeight="1">
      <c r="A426" s="33"/>
      <c r="B426" s="52"/>
      <c r="C426" s="45"/>
      <c r="D426" s="45"/>
      <c r="E426" s="92" t="s">
        <v>275</v>
      </c>
      <c r="F426" s="112">
        <v>1</v>
      </c>
      <c r="G426" s="35"/>
      <c r="H426" s="34"/>
      <c r="I426" s="52"/>
    </row>
    <row r="427" spans="1:9" ht="14.25" customHeight="1">
      <c r="A427" s="33"/>
      <c r="B427" s="52"/>
      <c r="C427" s="45"/>
      <c r="D427" s="45"/>
      <c r="E427" s="92" t="s">
        <v>219</v>
      </c>
      <c r="F427" s="112">
        <v>1</v>
      </c>
      <c r="G427" s="35"/>
      <c r="H427" s="34"/>
      <c r="I427" s="52"/>
    </row>
    <row r="428" spans="1:9" ht="14.25" customHeight="1">
      <c r="A428" s="33"/>
      <c r="B428" s="52"/>
      <c r="C428" s="45"/>
      <c r="D428" s="45"/>
      <c r="E428" s="92" t="s">
        <v>223</v>
      </c>
      <c r="F428" s="112">
        <v>2</v>
      </c>
      <c r="G428" s="35"/>
      <c r="H428" s="34"/>
      <c r="I428" s="52"/>
    </row>
    <row r="429" spans="1:9" ht="14.25" customHeight="1">
      <c r="A429" s="33"/>
      <c r="B429" s="52"/>
      <c r="C429" s="45"/>
      <c r="D429" s="45"/>
      <c r="E429" s="92" t="s">
        <v>235</v>
      </c>
      <c r="F429" s="112">
        <v>1</v>
      </c>
      <c r="G429" s="35"/>
      <c r="H429" s="34"/>
      <c r="I429" s="52"/>
    </row>
    <row r="430" spans="1:7" ht="12.75">
      <c r="A430" s="33"/>
      <c r="B430" s="52"/>
      <c r="C430" s="45"/>
      <c r="D430" s="45"/>
      <c r="E430" s="92" t="s">
        <v>270</v>
      </c>
      <c r="F430" s="112">
        <v>1</v>
      </c>
      <c r="G430" s="35"/>
    </row>
    <row r="431" spans="1:7" ht="12.75">
      <c r="A431" s="33"/>
      <c r="B431" s="52"/>
      <c r="C431" s="45"/>
      <c r="D431" s="45"/>
      <c r="E431" s="92" t="s">
        <v>287</v>
      </c>
      <c r="F431" s="112">
        <v>1</v>
      </c>
      <c r="G431" s="35"/>
    </row>
    <row r="432" spans="1:7" ht="12.75">
      <c r="A432" s="33"/>
      <c r="B432" s="52"/>
      <c r="C432" s="45"/>
      <c r="D432" s="45"/>
      <c r="E432" s="92" t="s">
        <v>236</v>
      </c>
      <c r="F432" s="112">
        <v>1</v>
      </c>
      <c r="G432" s="35"/>
    </row>
    <row r="433" spans="1:7" ht="13.5" thickBot="1">
      <c r="A433" s="33"/>
      <c r="B433" s="52"/>
      <c r="C433" s="45"/>
      <c r="D433" s="45"/>
      <c r="E433" s="45" t="s">
        <v>311</v>
      </c>
      <c r="F433" s="205">
        <v>1</v>
      </c>
      <c r="G433" s="35"/>
    </row>
    <row r="434" spans="1:7" ht="13.5" thickBot="1">
      <c r="A434" s="33"/>
      <c r="B434" s="70"/>
      <c r="C434" s="45"/>
      <c r="D434" s="481"/>
      <c r="E434" s="212" t="s">
        <v>2</v>
      </c>
      <c r="F434" s="287">
        <f>SUM(F413:F433)</f>
        <v>22</v>
      </c>
      <c r="G434" s="35"/>
    </row>
    <row r="435" spans="1:7" ht="13.5" thickBot="1">
      <c r="A435" s="33"/>
      <c r="B435" s="476"/>
      <c r="C435" s="34"/>
      <c r="D435" s="52"/>
      <c r="E435" s="481"/>
      <c r="F435" s="37"/>
      <c r="G435" s="35"/>
    </row>
    <row r="436" spans="1:7" ht="13.5" thickBot="1">
      <c r="A436" s="80" t="s">
        <v>422</v>
      </c>
      <c r="B436" s="545" t="str">
        <f>Planilha!C54</f>
        <v>PORTÃO DE GRADE COLOCADO COM CADEADO</v>
      </c>
      <c r="C436" s="594"/>
      <c r="D436" s="594"/>
      <c r="E436" s="595"/>
      <c r="F436" s="81">
        <f>F440</f>
        <v>3.15</v>
      </c>
      <c r="G436" s="80" t="s">
        <v>107</v>
      </c>
    </row>
    <row r="437" spans="1:7" ht="12.75">
      <c r="A437" s="33"/>
      <c r="B437" s="476"/>
      <c r="C437" s="34"/>
      <c r="D437" s="52"/>
      <c r="E437" s="481"/>
      <c r="F437" s="37"/>
      <c r="G437" s="35"/>
    </row>
    <row r="438" spans="1:7" ht="12.75">
      <c r="A438" s="33"/>
      <c r="B438" s="476"/>
      <c r="C438" s="203" t="s">
        <v>359</v>
      </c>
      <c r="D438" s="337" t="s">
        <v>245</v>
      </c>
      <c r="E438" s="198" t="s">
        <v>360</v>
      </c>
      <c r="F438" s="199" t="s">
        <v>246</v>
      </c>
      <c r="G438" s="35"/>
    </row>
    <row r="439" spans="1:7" ht="13.5" thickBot="1">
      <c r="A439" s="33"/>
      <c r="B439" s="476"/>
      <c r="C439" s="92" t="s">
        <v>462</v>
      </c>
      <c r="D439" s="237">
        <v>1.5</v>
      </c>
      <c r="E439" s="86">
        <v>2.1</v>
      </c>
      <c r="F439" s="211">
        <f>D439*E439</f>
        <v>3.15</v>
      </c>
      <c r="G439" s="35"/>
    </row>
    <row r="440" spans="1:7" ht="13.5" thickBot="1">
      <c r="A440" s="33"/>
      <c r="B440" s="476"/>
      <c r="C440" s="34"/>
      <c r="D440" s="119"/>
      <c r="E440" s="78" t="s">
        <v>2</v>
      </c>
      <c r="F440" s="212">
        <f>F439</f>
        <v>3.15</v>
      </c>
      <c r="G440" s="35"/>
    </row>
    <row r="441" spans="1:7" ht="13.5" thickBot="1">
      <c r="A441" s="33"/>
      <c r="B441" s="481"/>
      <c r="C441" s="37"/>
      <c r="D441" s="34"/>
      <c r="E441" s="45"/>
      <c r="F441" s="34"/>
      <c r="G441" s="35"/>
    </row>
    <row r="442" spans="1:7" ht="13.5" thickBot="1">
      <c r="A442" s="79" t="s">
        <v>54</v>
      </c>
      <c r="B442" s="562" t="s">
        <v>4</v>
      </c>
      <c r="C442" s="563"/>
      <c r="D442" s="563"/>
      <c r="E442" s="563"/>
      <c r="F442" s="563"/>
      <c r="G442" s="575"/>
    </row>
    <row r="443" spans="1:7" ht="13.5" thickBot="1">
      <c r="A443" s="33"/>
      <c r="B443" s="476"/>
      <c r="C443" s="34"/>
      <c r="D443" s="481"/>
      <c r="E443" s="37"/>
      <c r="F443" s="34"/>
      <c r="G443" s="35"/>
    </row>
    <row r="444" spans="1:7" ht="13.5" thickBot="1">
      <c r="A444" s="80" t="s">
        <v>75</v>
      </c>
      <c r="B444" s="545" t="str">
        <f>Planilha!C57</f>
        <v>TELHA DE BARRO / CERAMICA, NAO ESMALTADA, TIPO COLONIAL, CANAL, PLAN, PAULISTA COMPRIMENTO DE *44 A 50* CM, RENDIMENTO DE COBERTURA DE *26* TELHAS/M2</v>
      </c>
      <c r="C444" s="546"/>
      <c r="D444" s="546"/>
      <c r="E444" s="547"/>
      <c r="F444" s="81">
        <f>E448</f>
        <v>200</v>
      </c>
      <c r="G444" s="80" t="s">
        <v>107</v>
      </c>
    </row>
    <row r="445" spans="1:7" ht="12.75">
      <c r="A445" s="33"/>
      <c r="B445" s="476"/>
      <c r="C445" s="70"/>
      <c r="D445" s="231"/>
      <c r="E445" s="269"/>
      <c r="F445" s="270"/>
      <c r="G445" s="35"/>
    </row>
    <row r="446" spans="1:7" ht="12.75">
      <c r="A446" s="33"/>
      <c r="B446" s="476"/>
      <c r="C446" s="70"/>
      <c r="D446" s="272" t="s">
        <v>20</v>
      </c>
      <c r="E446" s="475" t="s">
        <v>24</v>
      </c>
      <c r="F446" s="34"/>
      <c r="G446" s="55"/>
    </row>
    <row r="447" spans="1:7" ht="13.5" thickBot="1">
      <c r="A447" s="33"/>
      <c r="B447" s="476"/>
      <c r="C447" s="70"/>
      <c r="D447" s="328" t="s">
        <v>309</v>
      </c>
      <c r="E447" s="76">
        <v>200</v>
      </c>
      <c r="F447" s="34"/>
      <c r="G447" s="55"/>
    </row>
    <row r="448" spans="1:14" ht="13.5" thickBot="1">
      <c r="A448" s="33"/>
      <c r="B448" s="476"/>
      <c r="C448" s="70"/>
      <c r="D448" s="329" t="s">
        <v>2</v>
      </c>
      <c r="E448" s="233">
        <v>200</v>
      </c>
      <c r="F448" s="34"/>
      <c r="G448" s="55"/>
      <c r="M448" s="288"/>
      <c r="N448" t="s">
        <v>36</v>
      </c>
    </row>
    <row r="449" spans="1:7" ht="13.5" thickBot="1">
      <c r="A449" s="33"/>
      <c r="B449" s="476"/>
      <c r="C449" s="70"/>
      <c r="D449" s="231"/>
      <c r="E449" s="320"/>
      <c r="F449" s="270"/>
      <c r="G449" s="35"/>
    </row>
    <row r="450" spans="1:7" ht="27.75" customHeight="1" thickBot="1">
      <c r="A450" s="80" t="s">
        <v>117</v>
      </c>
      <c r="B450" s="545" t="str">
        <f>Planilha!C58</f>
        <v>TELHAMENTO COM TELHA CERÂMICA CAPA-CANAL, TIPO COLONIAL, COM ATÉ 2 ÁGUAS,INCLUSO TRANSPORTE VERTICAL. AF_07/2019</v>
      </c>
      <c r="C450" s="546"/>
      <c r="D450" s="546"/>
      <c r="E450" s="547"/>
      <c r="F450" s="81">
        <f>F458</f>
        <v>248.65</v>
      </c>
      <c r="G450" s="80" t="s">
        <v>107</v>
      </c>
    </row>
    <row r="451" spans="1:7" ht="12.75">
      <c r="A451" s="33"/>
      <c r="B451" s="476"/>
      <c r="C451" s="70"/>
      <c r="D451" s="231"/>
      <c r="E451" s="70"/>
      <c r="F451" s="271"/>
      <c r="G451" s="35"/>
    </row>
    <row r="452" spans="1:7" ht="12.75">
      <c r="A452" s="33"/>
      <c r="B452" s="476"/>
      <c r="C452" s="548" t="s">
        <v>263</v>
      </c>
      <c r="D452" s="549"/>
      <c r="E452" s="549"/>
      <c r="F452" s="550"/>
      <c r="G452" s="35"/>
    </row>
    <row r="453" spans="1:7" ht="12.75">
      <c r="A453" s="33"/>
      <c r="B453" s="475" t="s">
        <v>20</v>
      </c>
      <c r="C453" s="475" t="s">
        <v>268</v>
      </c>
      <c r="D453" s="475" t="s">
        <v>227</v>
      </c>
      <c r="E453" s="475" t="s">
        <v>264</v>
      </c>
      <c r="F453" s="203" t="s">
        <v>265</v>
      </c>
      <c r="G453" s="35"/>
    </row>
    <row r="454" spans="1:7" ht="13.5" customHeight="1">
      <c r="A454" s="33"/>
      <c r="B454" s="106" t="s">
        <v>601</v>
      </c>
      <c r="C454" s="106">
        <v>9.2</v>
      </c>
      <c r="D454" s="106">
        <v>22.35</v>
      </c>
      <c r="E454" s="106">
        <v>0.5</v>
      </c>
      <c r="F454" s="230">
        <f>(((C454+(E454*2))*((D454+(E454*2)))))</f>
        <v>238.17</v>
      </c>
      <c r="G454" s="35"/>
    </row>
    <row r="455" spans="1:7" ht="13.5" customHeight="1">
      <c r="A455" s="33"/>
      <c r="B455" s="476"/>
      <c r="C455" s="70"/>
      <c r="D455" s="70"/>
      <c r="E455" s="70"/>
      <c r="F455" s="34"/>
      <c r="G455" s="35"/>
    </row>
    <row r="456" spans="1:14" ht="12.75">
      <c r="A456" s="33"/>
      <c r="B456" s="476"/>
      <c r="C456" s="70"/>
      <c r="D456" s="475" t="s">
        <v>37</v>
      </c>
      <c r="E456" s="475" t="s">
        <v>266</v>
      </c>
      <c r="F456" s="197"/>
      <c r="G456" s="35"/>
      <c r="N456" s="59" t="s">
        <v>354</v>
      </c>
    </row>
    <row r="457" spans="1:7" ht="13.5" thickBot="1">
      <c r="A457" s="33"/>
      <c r="B457" s="476"/>
      <c r="C457" s="70"/>
      <c r="D457" s="232">
        <v>0.3</v>
      </c>
      <c r="E457" s="76">
        <v>1.044</v>
      </c>
      <c r="F457" s="200"/>
      <c r="G457" s="35"/>
    </row>
    <row r="458" spans="1:7" ht="13.5" thickBot="1">
      <c r="A458" s="33"/>
      <c r="B458" s="476"/>
      <c r="C458" s="70"/>
      <c r="D458" s="231"/>
      <c r="E458" s="233" t="s">
        <v>2</v>
      </c>
      <c r="F458" s="219">
        <f>F454*E457</f>
        <v>248.65</v>
      </c>
      <c r="G458" s="35"/>
    </row>
    <row r="459" spans="1:7" ht="13.5" thickBot="1">
      <c r="A459" s="33"/>
      <c r="B459" s="476"/>
      <c r="C459" s="70"/>
      <c r="D459" s="231"/>
      <c r="E459" s="269"/>
      <c r="F459" s="270"/>
      <c r="G459" s="35"/>
    </row>
    <row r="460" spans="1:7" ht="13.5" thickBot="1">
      <c r="A460" s="80" t="s">
        <v>76</v>
      </c>
      <c r="B460" s="545" t="str">
        <f>Planilha!C59</f>
        <v>TRAMA DE MADEIRA COMPOSTA POR RIPAS, CAIBROS E TERÇAS PARA TELHADOS DE ATÉ 2 ÁGUAS PARA TELHA CERÂMICA CAPA-CANAL, INCLUSO TRANSPORTE VERTICAL. AF_07/2019</v>
      </c>
      <c r="C460" s="546"/>
      <c r="D460" s="546"/>
      <c r="E460" s="547"/>
      <c r="F460" s="81">
        <f>F469</f>
        <v>66.79</v>
      </c>
      <c r="G460" s="80" t="s">
        <v>107</v>
      </c>
    </row>
    <row r="461" spans="1:7" ht="12.75">
      <c r="A461" s="33"/>
      <c r="B461" s="476"/>
      <c r="C461" s="70"/>
      <c r="D461" s="231"/>
      <c r="E461" s="269"/>
      <c r="F461" s="270"/>
      <c r="G461" s="35"/>
    </row>
    <row r="462" spans="1:7" ht="12.75">
      <c r="A462" s="33"/>
      <c r="B462" s="476"/>
      <c r="C462" s="548" t="s">
        <v>451</v>
      </c>
      <c r="D462" s="549"/>
      <c r="E462" s="549"/>
      <c r="F462" s="550"/>
      <c r="G462" s="35"/>
    </row>
    <row r="463" spans="1:7" ht="12.75">
      <c r="A463" s="33"/>
      <c r="B463" s="475" t="s">
        <v>20</v>
      </c>
      <c r="C463" s="475" t="s">
        <v>268</v>
      </c>
      <c r="D463" s="475" t="s">
        <v>227</v>
      </c>
      <c r="E463" s="475" t="s">
        <v>264</v>
      </c>
      <c r="F463" s="203" t="s">
        <v>265</v>
      </c>
      <c r="G463" s="35"/>
    </row>
    <row r="464" spans="1:7" ht="12.75">
      <c r="A464" s="33"/>
      <c r="B464" s="106" t="s">
        <v>601</v>
      </c>
      <c r="C464" s="106">
        <v>5.65</v>
      </c>
      <c r="D464" s="106">
        <v>9.2</v>
      </c>
      <c r="E464" s="106">
        <v>0.5</v>
      </c>
      <c r="F464" s="230">
        <f>(C464+E464)*(D464+(E464*2))</f>
        <v>62.73</v>
      </c>
      <c r="G464" s="35"/>
    </row>
    <row r="465" spans="1:7" ht="12.75">
      <c r="A465" s="33"/>
      <c r="B465" s="106" t="s">
        <v>571</v>
      </c>
      <c r="C465" s="106">
        <v>1.7</v>
      </c>
      <c r="D465" s="106">
        <v>1.7</v>
      </c>
      <c r="E465" s="106">
        <v>0.5</v>
      </c>
      <c r="F465" s="230">
        <f>C465*D465+(E465*2)</f>
        <v>3.89</v>
      </c>
      <c r="G465" s="35"/>
    </row>
    <row r="466" spans="1:7" ht="12.75">
      <c r="A466" s="33"/>
      <c r="B466" s="70"/>
      <c r="C466" s="70"/>
      <c r="D466" s="106"/>
      <c r="E466" s="106"/>
      <c r="F466" s="230"/>
      <c r="G466" s="35"/>
    </row>
    <row r="467" spans="1:7" ht="12.75">
      <c r="A467" s="33"/>
      <c r="B467" s="476"/>
      <c r="C467" s="70"/>
      <c r="D467" s="475" t="s">
        <v>37</v>
      </c>
      <c r="E467" s="475" t="s">
        <v>266</v>
      </c>
      <c r="F467" s="197"/>
      <c r="G467" s="35"/>
    </row>
    <row r="468" spans="1:7" ht="13.5" thickBot="1">
      <c r="A468" s="33"/>
      <c r="B468" s="476"/>
      <c r="C468" s="70"/>
      <c r="D468" s="232">
        <v>0.3</v>
      </c>
      <c r="E468" s="76">
        <v>1.044</v>
      </c>
      <c r="F468" s="200"/>
      <c r="G468" s="35"/>
    </row>
    <row r="469" spans="1:7" ht="13.5" thickBot="1">
      <c r="A469" s="33"/>
      <c r="B469" s="476"/>
      <c r="C469" s="70"/>
      <c r="D469" s="231"/>
      <c r="E469" s="233" t="s">
        <v>2</v>
      </c>
      <c r="F469" s="219">
        <f>F464+F465*E468</f>
        <v>66.79</v>
      </c>
      <c r="G469" s="35"/>
    </row>
    <row r="470" spans="1:7" ht="13.5" thickBot="1">
      <c r="A470" s="33"/>
      <c r="B470" s="476"/>
      <c r="C470" s="70"/>
      <c r="D470" s="231"/>
      <c r="E470" s="269"/>
      <c r="F470" s="270"/>
      <c r="G470" s="35"/>
    </row>
    <row r="471" spans="1:7" ht="13.5" thickBot="1">
      <c r="A471" s="80" t="s">
        <v>281</v>
      </c>
      <c r="B471" s="545" t="str">
        <f>Planilha!C60</f>
        <v>TELHAMENTO COM TELHA CERÂMICA CAPA-CANAL, TIPO COLONIAL, COM ATÉ 2 ÁGUAS, INCLUSO TRANSPORTE VERTICAL. AF_07/2019</v>
      </c>
      <c r="C471" s="546"/>
      <c r="D471" s="546"/>
      <c r="E471" s="547"/>
      <c r="F471" s="81">
        <f>F481</f>
        <v>73.47</v>
      </c>
      <c r="G471" s="80" t="s">
        <v>107</v>
      </c>
    </row>
    <row r="472" spans="1:7" ht="12.75">
      <c r="A472" s="33"/>
      <c r="B472" s="476"/>
      <c r="C472" s="70"/>
      <c r="D472" s="231"/>
      <c r="E472" s="269"/>
      <c r="F472" s="270"/>
      <c r="G472" s="35"/>
    </row>
    <row r="473" spans="1:7" ht="12.75">
      <c r="A473" s="33"/>
      <c r="B473" s="476"/>
      <c r="C473" s="548" t="s">
        <v>451</v>
      </c>
      <c r="D473" s="549"/>
      <c r="E473" s="549"/>
      <c r="F473" s="550"/>
      <c r="G473" s="35"/>
    </row>
    <row r="474" spans="1:7" ht="12.75">
      <c r="A474" s="33"/>
      <c r="B474" s="475" t="s">
        <v>20</v>
      </c>
      <c r="C474" s="475" t="s">
        <v>268</v>
      </c>
      <c r="D474" s="475" t="s">
        <v>227</v>
      </c>
      <c r="E474" s="475" t="s">
        <v>264</v>
      </c>
      <c r="F474" s="203" t="s">
        <v>265</v>
      </c>
      <c r="G474" s="35"/>
    </row>
    <row r="475" spans="1:7" ht="12.75">
      <c r="A475" s="33"/>
      <c r="B475" s="106" t="s">
        <v>601</v>
      </c>
      <c r="C475" s="106">
        <v>5.65</v>
      </c>
      <c r="D475" s="106">
        <v>9.2</v>
      </c>
      <c r="E475" s="106">
        <v>0.5</v>
      </c>
      <c r="F475" s="230">
        <f>(C475+E475)*(D475+(E475*2))</f>
        <v>62.73</v>
      </c>
      <c r="G475" s="35"/>
    </row>
    <row r="476" spans="1:7" ht="12.75">
      <c r="A476" s="33"/>
      <c r="B476" s="106" t="s">
        <v>571</v>
      </c>
      <c r="C476" s="106">
        <v>1.7</v>
      </c>
      <c r="D476" s="106">
        <v>1.7</v>
      </c>
      <c r="E476" s="106">
        <v>0.5</v>
      </c>
      <c r="F476" s="112">
        <f>C476*D476+(E476*2)</f>
        <v>3.89</v>
      </c>
      <c r="G476" s="35"/>
    </row>
    <row r="477" spans="1:7" ht="12.75">
      <c r="A477" s="33"/>
      <c r="B477" s="70"/>
      <c r="C477" s="70"/>
      <c r="D477" s="231"/>
      <c r="E477" s="269"/>
      <c r="F477" s="270"/>
      <c r="G477" s="35"/>
    </row>
    <row r="478" spans="1:7" ht="12.75">
      <c r="A478" s="33"/>
      <c r="B478" s="476"/>
      <c r="C478" s="70"/>
      <c r="D478" s="475" t="s">
        <v>37</v>
      </c>
      <c r="E478" s="475" t="s">
        <v>266</v>
      </c>
      <c r="F478" s="197"/>
      <c r="G478" s="35"/>
    </row>
    <row r="479" spans="1:7" ht="13.5" thickBot="1">
      <c r="A479" s="33"/>
      <c r="B479" s="476"/>
      <c r="C479" s="70"/>
      <c r="D479" s="232">
        <v>0.3</v>
      </c>
      <c r="E479" s="76">
        <v>1.044</v>
      </c>
      <c r="F479" s="200"/>
      <c r="G479" s="35"/>
    </row>
    <row r="480" spans="1:7" ht="13.5" thickBot="1">
      <c r="A480" s="33"/>
      <c r="B480" s="476"/>
      <c r="C480" s="70"/>
      <c r="D480" s="231"/>
      <c r="E480" s="233" t="s">
        <v>69</v>
      </c>
      <c r="F480" s="219">
        <f>F475+F476*E479</f>
        <v>66.79</v>
      </c>
      <c r="G480" s="35"/>
    </row>
    <row r="481" spans="1:7" ht="13.5" thickBot="1">
      <c r="A481" s="33"/>
      <c r="B481" s="476"/>
      <c r="C481" s="70"/>
      <c r="D481" s="231"/>
      <c r="E481" s="233" t="s">
        <v>2</v>
      </c>
      <c r="F481" s="219">
        <f>F480*1.1</f>
        <v>73.47</v>
      </c>
      <c r="G481" s="35"/>
    </row>
    <row r="482" spans="1:7" ht="13.5" thickBot="1">
      <c r="A482" s="33"/>
      <c r="B482" s="476"/>
      <c r="C482" s="70"/>
      <c r="D482" s="231"/>
      <c r="E482" s="269"/>
      <c r="F482" s="270"/>
      <c r="G482" s="35"/>
    </row>
    <row r="483" spans="1:7" ht="13.5" thickBot="1">
      <c r="A483" s="80" t="s">
        <v>288</v>
      </c>
      <c r="B483" s="545" t="str">
        <f>Planilha!C61</f>
        <v>INSTALAÇÃO DE TESOURA (INTEIRA OU MEIA), BIAPOIADA, EM MADEIRA NÃO APARELHADA, PARA VÃOS MAIORES OU IGUAIS A 8,0 M E MENORES QUE 10,0 M, INCLUSO IÇAMENTO. AF_07/2019</v>
      </c>
      <c r="C483" s="546"/>
      <c r="D483" s="546"/>
      <c r="E483" s="547"/>
      <c r="F483" s="81">
        <f>E487</f>
        <v>1</v>
      </c>
      <c r="G483" s="80" t="s">
        <v>19</v>
      </c>
    </row>
    <row r="484" spans="1:7" ht="12.75">
      <c r="A484" s="33"/>
      <c r="B484" s="476"/>
      <c r="C484" s="70"/>
      <c r="D484" s="231"/>
      <c r="E484" s="269"/>
      <c r="F484" s="270"/>
      <c r="G484" s="35"/>
    </row>
    <row r="485" spans="1:7" ht="12.75">
      <c r="A485" s="33"/>
      <c r="B485" s="476"/>
      <c r="C485" s="272" t="s">
        <v>20</v>
      </c>
      <c r="D485" s="209" t="s">
        <v>470</v>
      </c>
      <c r="E485" s="475" t="s">
        <v>24</v>
      </c>
      <c r="F485" s="270"/>
      <c r="G485" s="35"/>
    </row>
    <row r="486" spans="1:7" ht="13.5" thickBot="1">
      <c r="A486" s="33"/>
      <c r="B486" s="476"/>
      <c r="C486" s="232" t="s">
        <v>390</v>
      </c>
      <c r="D486" s="405">
        <v>9.2</v>
      </c>
      <c r="E486" s="76">
        <v>1</v>
      </c>
      <c r="F486" s="270"/>
      <c r="G486" s="35"/>
    </row>
    <row r="487" spans="1:7" ht="13.5" thickBot="1">
      <c r="A487" s="33"/>
      <c r="B487" s="476"/>
      <c r="C487" s="70"/>
      <c r="D487" s="329" t="s">
        <v>2</v>
      </c>
      <c r="E487" s="233">
        <f>E486</f>
        <v>1</v>
      </c>
      <c r="F487" s="270"/>
      <c r="G487" s="35"/>
    </row>
    <row r="488" spans="1:7" ht="43.5" customHeight="1" thickBot="1">
      <c r="A488" s="80" t="s">
        <v>623</v>
      </c>
      <c r="B488" s="545" t="str">
        <f>Planilha!C62</f>
        <v>FORRO EM RÉGUA DE PVC, LARGURA 20CM, NA COR BRANCA, INCLUSIVE ESTRUTURA DE FIXAÇÃO E PENDURAIS METÁLICOS E ACESSÓRIOS DE FIXAÇÃO, EXCLUSIVE RODAFORRO OU MOLDURA</v>
      </c>
      <c r="C488" s="546"/>
      <c r="D488" s="546"/>
      <c r="E488" s="547"/>
      <c r="F488" s="81">
        <f>E515</f>
        <v>222.78</v>
      </c>
      <c r="G488" s="80" t="s">
        <v>19</v>
      </c>
    </row>
    <row r="489" spans="1:7" ht="15" customHeight="1">
      <c r="A489" s="33"/>
      <c r="B489" s="481"/>
      <c r="C489" s="37"/>
      <c r="D489" s="34"/>
      <c r="E489" s="45"/>
      <c r="F489" s="34"/>
      <c r="G489" s="32"/>
    </row>
    <row r="490" spans="1:7" ht="15" customHeight="1">
      <c r="A490" s="477"/>
      <c r="B490" s="114" t="s">
        <v>20</v>
      </c>
      <c r="C490" s="114" t="s">
        <v>21</v>
      </c>
      <c r="D490" s="114" t="s">
        <v>26</v>
      </c>
      <c r="E490" s="114" t="s">
        <v>23</v>
      </c>
      <c r="F490" s="50"/>
      <c r="G490" s="35"/>
    </row>
    <row r="491" spans="1:7" ht="15" customHeight="1">
      <c r="A491" s="573"/>
      <c r="B491" s="106" t="s">
        <v>226</v>
      </c>
      <c r="C491" s="108">
        <v>2.45</v>
      </c>
      <c r="D491" s="108">
        <v>3.25</v>
      </c>
      <c r="E491" s="108">
        <f aca="true" t="shared" si="11" ref="E491:E514">C491*D491</f>
        <v>7.96</v>
      </c>
      <c r="F491" s="41"/>
      <c r="G491" s="35"/>
    </row>
    <row r="492" spans="1:7" ht="15" customHeight="1">
      <c r="A492" s="573"/>
      <c r="B492" s="106" t="s">
        <v>229</v>
      </c>
      <c r="C492" s="108">
        <v>1.75</v>
      </c>
      <c r="D492" s="108">
        <v>3.25</v>
      </c>
      <c r="E492" s="108">
        <f t="shared" si="11"/>
        <v>5.69</v>
      </c>
      <c r="F492" s="41"/>
      <c r="G492" s="35"/>
    </row>
    <row r="493" spans="1:7" ht="12.75">
      <c r="A493" s="573"/>
      <c r="B493" s="92" t="s">
        <v>537</v>
      </c>
      <c r="C493" s="108">
        <v>1.8</v>
      </c>
      <c r="D493" s="108">
        <v>3.25</v>
      </c>
      <c r="E493" s="108">
        <f t="shared" si="11"/>
        <v>5.85</v>
      </c>
      <c r="F493" s="41"/>
      <c r="G493" s="35"/>
    </row>
    <row r="494" spans="1:7" ht="12.75">
      <c r="A494" s="573"/>
      <c r="B494" s="106" t="s">
        <v>239</v>
      </c>
      <c r="C494" s="108">
        <v>3.05</v>
      </c>
      <c r="D494" s="108">
        <v>3.25</v>
      </c>
      <c r="E494" s="108">
        <f t="shared" si="11"/>
        <v>9.91</v>
      </c>
      <c r="F494" s="41"/>
      <c r="G494" s="35"/>
    </row>
    <row r="495" spans="1:7" ht="15.75" customHeight="1">
      <c r="A495" s="477"/>
      <c r="B495" s="106" t="s">
        <v>291</v>
      </c>
      <c r="C495" s="108">
        <v>1.38</v>
      </c>
      <c r="D495" s="108">
        <v>2</v>
      </c>
      <c r="E495" s="108">
        <f t="shared" si="11"/>
        <v>2.76</v>
      </c>
      <c r="F495" s="41"/>
      <c r="G495" s="35"/>
    </row>
    <row r="496" spans="1:7" ht="12.75">
      <c r="A496" s="477"/>
      <c r="B496" s="106" t="s">
        <v>292</v>
      </c>
      <c r="C496" s="108">
        <v>1.38</v>
      </c>
      <c r="D496" s="108">
        <v>2</v>
      </c>
      <c r="E496" s="108">
        <f t="shared" si="11"/>
        <v>2.76</v>
      </c>
      <c r="F496" s="41"/>
      <c r="G496" s="35"/>
    </row>
    <row r="497" spans="1:7" ht="12.75">
      <c r="A497" s="33"/>
      <c r="B497" s="92" t="s">
        <v>224</v>
      </c>
      <c r="C497" s="92">
        <v>2.6</v>
      </c>
      <c r="D497" s="92">
        <v>4.4</v>
      </c>
      <c r="E497" s="108">
        <f t="shared" si="11"/>
        <v>11.44</v>
      </c>
      <c r="F497" s="37"/>
      <c r="G497" s="35"/>
    </row>
    <row r="498" spans="1:7" ht="12.75">
      <c r="A498" s="33"/>
      <c r="B498" s="92" t="s">
        <v>530</v>
      </c>
      <c r="C498" s="92">
        <v>3.3</v>
      </c>
      <c r="D498" s="92">
        <v>1.35</v>
      </c>
      <c r="E498" s="108">
        <f t="shared" si="11"/>
        <v>4.46</v>
      </c>
      <c r="F498" s="37"/>
      <c r="G498" s="35"/>
    </row>
    <row r="499" spans="1:7" ht="12.75">
      <c r="A499" s="33"/>
      <c r="B499" s="92" t="s">
        <v>461</v>
      </c>
      <c r="C499" s="92">
        <v>3.3</v>
      </c>
      <c r="D499" s="92">
        <v>3.1</v>
      </c>
      <c r="E499" s="108">
        <f t="shared" si="11"/>
        <v>10.23</v>
      </c>
      <c r="F499" s="37"/>
      <c r="G499" s="35"/>
    </row>
    <row r="500" spans="1:7" ht="12.75">
      <c r="A500" s="33"/>
      <c r="B500" s="92" t="s">
        <v>221</v>
      </c>
      <c r="C500" s="92">
        <v>2.15</v>
      </c>
      <c r="D500" s="92">
        <v>1.6</v>
      </c>
      <c r="E500" s="108">
        <f t="shared" si="11"/>
        <v>3.44</v>
      </c>
      <c r="F500" s="37"/>
      <c r="G500" s="35"/>
    </row>
    <row r="501" spans="1:7" ht="12.75">
      <c r="A501" s="33"/>
      <c r="B501" s="92" t="s">
        <v>232</v>
      </c>
      <c r="C501" s="92">
        <v>3.3</v>
      </c>
      <c r="D501" s="92">
        <v>2.6</v>
      </c>
      <c r="E501" s="108">
        <f t="shared" si="11"/>
        <v>8.58</v>
      </c>
      <c r="F501" s="37"/>
      <c r="G501" s="35"/>
    </row>
    <row r="502" spans="1:7" ht="12.75">
      <c r="A502" s="33"/>
      <c r="B502" s="92" t="s">
        <v>225</v>
      </c>
      <c r="C502" s="92">
        <v>5.95</v>
      </c>
      <c r="D502" s="92">
        <v>2.6</v>
      </c>
      <c r="E502" s="108">
        <f t="shared" si="11"/>
        <v>15.47</v>
      </c>
      <c r="F502" s="37"/>
      <c r="G502" s="35"/>
    </row>
    <row r="503" spans="1:7" ht="12.75">
      <c r="A503" s="33"/>
      <c r="B503" s="92" t="s">
        <v>275</v>
      </c>
      <c r="C503" s="92">
        <v>3.05</v>
      </c>
      <c r="D503" s="92">
        <v>1.6</v>
      </c>
      <c r="E503" s="108">
        <f t="shared" si="11"/>
        <v>4.88</v>
      </c>
      <c r="F503" s="37"/>
      <c r="G503" s="35"/>
    </row>
    <row r="504" spans="1:7" ht="12.75">
      <c r="A504" s="33"/>
      <c r="B504" s="92" t="s">
        <v>219</v>
      </c>
      <c r="C504" s="92">
        <v>3.05</v>
      </c>
      <c r="D504" s="92">
        <v>2.4</v>
      </c>
      <c r="E504" s="108">
        <f t="shared" si="11"/>
        <v>7.32</v>
      </c>
      <c r="F504" s="37"/>
      <c r="G504" s="35"/>
    </row>
    <row r="505" spans="1:7" ht="12.75">
      <c r="A505" s="33"/>
      <c r="B505" s="92" t="s">
        <v>223</v>
      </c>
      <c r="C505" s="92">
        <v>3.6</v>
      </c>
      <c r="D505" s="92">
        <v>4.15</v>
      </c>
      <c r="E505" s="108">
        <f t="shared" si="11"/>
        <v>14.94</v>
      </c>
      <c r="F505" s="37"/>
      <c r="G505" s="35"/>
    </row>
    <row r="506" spans="1:7" ht="12.75">
      <c r="A506" s="33"/>
      <c r="B506" s="92" t="s">
        <v>235</v>
      </c>
      <c r="C506" s="92">
        <v>1.2</v>
      </c>
      <c r="D506" s="92">
        <v>1.2</v>
      </c>
      <c r="E506" s="108">
        <f t="shared" si="11"/>
        <v>1.44</v>
      </c>
      <c r="F506" s="37"/>
      <c r="G506" s="35"/>
    </row>
    <row r="507" spans="1:7" ht="12.75">
      <c r="A507" s="33"/>
      <c r="B507" s="86" t="s">
        <v>270</v>
      </c>
      <c r="C507" s="86">
        <v>2.05</v>
      </c>
      <c r="D507" s="86">
        <v>1.7</v>
      </c>
      <c r="E507" s="108">
        <f t="shared" si="11"/>
        <v>3.49</v>
      </c>
      <c r="F507" s="37"/>
      <c r="G507" s="35"/>
    </row>
    <row r="508" spans="1:7" ht="12.75">
      <c r="A508" s="33"/>
      <c r="B508" s="92" t="s">
        <v>287</v>
      </c>
      <c r="C508" s="92">
        <v>2.05</v>
      </c>
      <c r="D508" s="92">
        <v>2.3</v>
      </c>
      <c r="E508" s="108">
        <f t="shared" si="11"/>
        <v>4.72</v>
      </c>
      <c r="F508" s="37"/>
      <c r="G508" s="35"/>
    </row>
    <row r="509" spans="1:7" ht="12.75">
      <c r="A509" s="33"/>
      <c r="B509" s="92" t="s">
        <v>236</v>
      </c>
      <c r="C509" s="92">
        <v>9.15</v>
      </c>
      <c r="D509" s="92">
        <v>1.2</v>
      </c>
      <c r="E509" s="108">
        <f t="shared" si="11"/>
        <v>10.98</v>
      </c>
      <c r="F509" s="37"/>
      <c r="G509" s="35"/>
    </row>
    <row r="510" spans="1:7" ht="12.75">
      <c r="A510" s="33"/>
      <c r="B510" s="92" t="s">
        <v>237</v>
      </c>
      <c r="C510" s="92">
        <v>6.7</v>
      </c>
      <c r="D510" s="92">
        <v>2.75</v>
      </c>
      <c r="E510" s="108">
        <f t="shared" si="11"/>
        <v>18.43</v>
      </c>
      <c r="F510" s="37"/>
      <c r="G510" s="35"/>
    </row>
    <row r="511" spans="1:7" ht="12.75">
      <c r="A511" s="33"/>
      <c r="B511" s="92" t="s">
        <v>293</v>
      </c>
      <c r="C511" s="92">
        <v>2.9</v>
      </c>
      <c r="D511" s="92">
        <v>1.25</v>
      </c>
      <c r="E511" s="108">
        <f t="shared" si="11"/>
        <v>3.63</v>
      </c>
      <c r="F511" s="37"/>
      <c r="G511" s="35"/>
    </row>
    <row r="512" spans="1:7" ht="12.75">
      <c r="A512" s="33"/>
      <c r="B512" s="92" t="s">
        <v>294</v>
      </c>
      <c r="C512" s="92">
        <v>3.9</v>
      </c>
      <c r="D512" s="92">
        <v>1.6</v>
      </c>
      <c r="E512" s="108">
        <f t="shared" si="11"/>
        <v>6.24</v>
      </c>
      <c r="F512" s="37"/>
      <c r="G512" s="35"/>
    </row>
    <row r="513" spans="1:7" ht="12.75">
      <c r="A513" s="33"/>
      <c r="B513" s="92" t="s">
        <v>274</v>
      </c>
      <c r="C513" s="92">
        <v>3.35</v>
      </c>
      <c r="D513" s="92">
        <v>2.75</v>
      </c>
      <c r="E513" s="108">
        <f t="shared" si="11"/>
        <v>9.21</v>
      </c>
      <c r="F513" s="37"/>
      <c r="G513" s="35"/>
    </row>
    <row r="514" spans="1:7" ht="13.5" thickBot="1">
      <c r="A514" s="33"/>
      <c r="B514" s="92" t="s">
        <v>311</v>
      </c>
      <c r="C514" s="92">
        <v>5.5</v>
      </c>
      <c r="D514" s="86">
        <v>8.9</v>
      </c>
      <c r="E514" s="238">
        <f t="shared" si="11"/>
        <v>48.95</v>
      </c>
      <c r="F514" s="37"/>
      <c r="G514" s="35"/>
    </row>
    <row r="515" spans="1:7" ht="13.5" thickBot="1">
      <c r="A515" s="33"/>
      <c r="B515" s="70"/>
      <c r="C515" s="45"/>
      <c r="D515" s="202" t="s">
        <v>2</v>
      </c>
      <c r="E515" s="212">
        <f>SUM(E491:E514)</f>
        <v>222.78</v>
      </c>
      <c r="F515" s="34"/>
      <c r="G515" s="35"/>
    </row>
    <row r="516" spans="1:7" ht="13.5" thickBot="1">
      <c r="A516" s="33"/>
      <c r="B516" s="70"/>
      <c r="C516" s="45"/>
      <c r="D516" s="229"/>
      <c r="E516" s="287"/>
      <c r="F516" s="34"/>
      <c r="G516" s="35"/>
    </row>
    <row r="517" spans="1:7" ht="13.5" thickBot="1">
      <c r="A517" s="80" t="s">
        <v>624</v>
      </c>
      <c r="B517" s="545" t="str">
        <f>Planilha!C63</f>
        <v>ACABAMENTOS PARA FORRO (RODA-FORRO EM PERFIL METÁLICO E PLÁSTICO). AF_ 05/2017</v>
      </c>
      <c r="C517" s="546"/>
      <c r="D517" s="546"/>
      <c r="E517" s="547"/>
      <c r="F517" s="81">
        <f>E544</f>
        <v>268.22</v>
      </c>
      <c r="G517" s="80" t="s">
        <v>25</v>
      </c>
    </row>
    <row r="518" spans="1:7" ht="12.75">
      <c r="A518" s="33"/>
      <c r="B518" s="481"/>
      <c r="C518" s="37"/>
      <c r="D518" s="34"/>
      <c r="E518" s="45"/>
      <c r="F518" s="34"/>
      <c r="G518" s="32"/>
    </row>
    <row r="519" spans="1:7" ht="12.75">
      <c r="A519" s="33"/>
      <c r="B519" s="114" t="s">
        <v>20</v>
      </c>
      <c r="C519" s="114" t="s">
        <v>268</v>
      </c>
      <c r="D519" s="114" t="s">
        <v>295</v>
      </c>
      <c r="E519" s="114" t="s">
        <v>296</v>
      </c>
      <c r="F519" s="34"/>
      <c r="G519" s="35"/>
    </row>
    <row r="520" spans="1:7" ht="12.75">
      <c r="A520" s="33"/>
      <c r="B520" s="106" t="s">
        <v>226</v>
      </c>
      <c r="C520" s="108">
        <v>2.45</v>
      </c>
      <c r="D520" s="108">
        <v>3.25</v>
      </c>
      <c r="E520" s="108">
        <f aca="true" t="shared" si="12" ref="E520:E537">(C520+D520)*2</f>
        <v>11.4</v>
      </c>
      <c r="F520" s="34"/>
      <c r="G520" s="35"/>
    </row>
    <row r="521" spans="1:7" ht="12.75">
      <c r="A521" s="33"/>
      <c r="B521" s="106" t="s">
        <v>229</v>
      </c>
      <c r="C521" s="108">
        <v>1.75</v>
      </c>
      <c r="D521" s="108">
        <v>3.25</v>
      </c>
      <c r="E521" s="108">
        <f t="shared" si="12"/>
        <v>10</v>
      </c>
      <c r="F521" s="34"/>
      <c r="G521" s="35"/>
    </row>
    <row r="522" spans="1:7" ht="12.75">
      <c r="A522" s="33"/>
      <c r="B522" s="92" t="s">
        <v>537</v>
      </c>
      <c r="C522" s="108">
        <v>1.8</v>
      </c>
      <c r="D522" s="108">
        <v>3.25</v>
      </c>
      <c r="E522" s="108">
        <f t="shared" si="12"/>
        <v>10.1</v>
      </c>
      <c r="F522" s="34"/>
      <c r="G522" s="35"/>
    </row>
    <row r="523" spans="1:7" ht="20.25" customHeight="1">
      <c r="A523" s="33"/>
      <c r="B523" s="106" t="s">
        <v>239</v>
      </c>
      <c r="C523" s="108">
        <v>3.05</v>
      </c>
      <c r="D523" s="108">
        <v>3.25</v>
      </c>
      <c r="E523" s="108">
        <f t="shared" si="12"/>
        <v>12.6</v>
      </c>
      <c r="F523" s="34"/>
      <c r="G523" s="35"/>
    </row>
    <row r="524" spans="1:7" ht="12.75">
      <c r="A524" s="33"/>
      <c r="B524" s="106" t="s">
        <v>291</v>
      </c>
      <c r="C524" s="108">
        <v>1.38</v>
      </c>
      <c r="D524" s="108">
        <v>2</v>
      </c>
      <c r="E524" s="267">
        <f t="shared" si="12"/>
        <v>6.76</v>
      </c>
      <c r="F524" s="34"/>
      <c r="G524" s="35"/>
    </row>
    <row r="525" spans="1:7" ht="12.75">
      <c r="A525" s="33"/>
      <c r="B525" s="106" t="s">
        <v>292</v>
      </c>
      <c r="C525" s="108">
        <v>1.38</v>
      </c>
      <c r="D525" s="108">
        <v>2</v>
      </c>
      <c r="E525" s="267">
        <f t="shared" si="12"/>
        <v>6.76</v>
      </c>
      <c r="F525" s="34"/>
      <c r="G525" s="35"/>
    </row>
    <row r="526" spans="1:7" ht="12.75">
      <c r="A526" s="33"/>
      <c r="B526" s="92" t="s">
        <v>224</v>
      </c>
      <c r="C526" s="92">
        <v>2.6</v>
      </c>
      <c r="D526" s="92">
        <v>4.4</v>
      </c>
      <c r="E526" s="108">
        <f t="shared" si="12"/>
        <v>14</v>
      </c>
      <c r="F526" s="34"/>
      <c r="G526" s="35"/>
    </row>
    <row r="527" spans="1:7" ht="12.75">
      <c r="A527" s="33"/>
      <c r="B527" s="92" t="s">
        <v>530</v>
      </c>
      <c r="C527" s="92">
        <v>3.3</v>
      </c>
      <c r="D527" s="92">
        <v>1.35</v>
      </c>
      <c r="E527" s="267">
        <f t="shared" si="12"/>
        <v>9.3</v>
      </c>
      <c r="F527" s="34"/>
      <c r="G527" s="35"/>
    </row>
    <row r="528" spans="1:7" ht="12.75">
      <c r="A528" s="33"/>
      <c r="B528" s="92" t="s">
        <v>234</v>
      </c>
      <c r="C528" s="92">
        <v>3.3</v>
      </c>
      <c r="D528" s="92">
        <v>3.1</v>
      </c>
      <c r="E528" s="108">
        <f t="shared" si="12"/>
        <v>12.8</v>
      </c>
      <c r="F528" s="34"/>
      <c r="G528" s="35"/>
    </row>
    <row r="529" spans="1:7" ht="12.75">
      <c r="A529" s="201"/>
      <c r="B529" s="213" t="s">
        <v>221</v>
      </c>
      <c r="C529" s="213">
        <v>2.15</v>
      </c>
      <c r="D529" s="213">
        <v>1.6</v>
      </c>
      <c r="E529" s="267">
        <f t="shared" si="12"/>
        <v>7.5</v>
      </c>
      <c r="F529" s="251"/>
      <c r="G529" s="276"/>
    </row>
    <row r="530" spans="1:7" ht="12.75">
      <c r="A530" s="33"/>
      <c r="B530" s="92" t="s">
        <v>232</v>
      </c>
      <c r="C530" s="92">
        <v>3.3</v>
      </c>
      <c r="D530" s="92">
        <v>2.6</v>
      </c>
      <c r="E530" s="108">
        <f t="shared" si="12"/>
        <v>11.8</v>
      </c>
      <c r="F530" s="34"/>
      <c r="G530" s="35"/>
    </row>
    <row r="531" spans="1:7" ht="12.75">
      <c r="A531" s="33"/>
      <c r="B531" s="92" t="s">
        <v>225</v>
      </c>
      <c r="C531" s="92">
        <v>5.95</v>
      </c>
      <c r="D531" s="92">
        <v>2.6</v>
      </c>
      <c r="E531" s="108">
        <f t="shared" si="12"/>
        <v>17.1</v>
      </c>
      <c r="F531" s="34"/>
      <c r="G531" s="35"/>
    </row>
    <row r="532" spans="1:7" ht="12.75" customHeight="1">
      <c r="A532" s="33"/>
      <c r="B532" s="92" t="s">
        <v>275</v>
      </c>
      <c r="C532" s="92">
        <v>3.05</v>
      </c>
      <c r="D532" s="92">
        <v>1.6</v>
      </c>
      <c r="E532" s="108">
        <f t="shared" si="12"/>
        <v>9.3</v>
      </c>
      <c r="F532" s="34"/>
      <c r="G532" s="35"/>
    </row>
    <row r="533" spans="1:7" ht="12.75" customHeight="1">
      <c r="A533" s="33"/>
      <c r="B533" s="92" t="s">
        <v>219</v>
      </c>
      <c r="C533" s="92">
        <v>3.05</v>
      </c>
      <c r="D533" s="92">
        <v>2.4</v>
      </c>
      <c r="E533" s="108">
        <f t="shared" si="12"/>
        <v>10.9</v>
      </c>
      <c r="F533" s="34"/>
      <c r="G533" s="35"/>
    </row>
    <row r="534" spans="1:7" ht="12.75">
      <c r="A534" s="33"/>
      <c r="B534" s="92" t="s">
        <v>223</v>
      </c>
      <c r="C534" s="92">
        <v>3.6</v>
      </c>
      <c r="D534" s="92">
        <v>4.15</v>
      </c>
      <c r="E534" s="108">
        <f t="shared" si="12"/>
        <v>15.5</v>
      </c>
      <c r="F534" s="34"/>
      <c r="G534" s="35"/>
    </row>
    <row r="535" spans="1:7" ht="12.75">
      <c r="A535" s="33"/>
      <c r="B535" s="92" t="s">
        <v>235</v>
      </c>
      <c r="C535" s="92">
        <v>1.2</v>
      </c>
      <c r="D535" s="92">
        <v>1.2</v>
      </c>
      <c r="E535" s="108">
        <f t="shared" si="12"/>
        <v>4.8</v>
      </c>
      <c r="F535" s="34"/>
      <c r="G535" s="35"/>
    </row>
    <row r="536" spans="1:7" ht="12.75">
      <c r="A536" s="33"/>
      <c r="B536" s="86" t="s">
        <v>270</v>
      </c>
      <c r="C536" s="86">
        <v>2.05</v>
      </c>
      <c r="D536" s="86">
        <v>1.7</v>
      </c>
      <c r="E536" s="108">
        <f t="shared" si="12"/>
        <v>7.5</v>
      </c>
      <c r="F536" s="34"/>
      <c r="G536" s="35"/>
    </row>
    <row r="537" spans="1:7" ht="12.75">
      <c r="A537" s="33"/>
      <c r="B537" s="92" t="s">
        <v>287</v>
      </c>
      <c r="C537" s="92">
        <v>2.05</v>
      </c>
      <c r="D537" s="92">
        <v>2.3</v>
      </c>
      <c r="E537" s="108">
        <f t="shared" si="12"/>
        <v>8.7</v>
      </c>
      <c r="F537" s="34"/>
      <c r="G537" s="35"/>
    </row>
    <row r="538" spans="1:7" ht="12.75">
      <c r="A538" s="33"/>
      <c r="B538" s="92" t="s">
        <v>236</v>
      </c>
      <c r="C538" s="92">
        <v>9.15</v>
      </c>
      <c r="D538" s="92">
        <v>1.2</v>
      </c>
      <c r="E538" s="108">
        <f>(C538*2)+D538</f>
        <v>19.5</v>
      </c>
      <c r="F538" s="34"/>
      <c r="G538" s="35"/>
    </row>
    <row r="539" spans="1:7" ht="12.75">
      <c r="A539" s="33"/>
      <c r="B539" s="92" t="s">
        <v>237</v>
      </c>
      <c r="C539" s="92">
        <v>3.35</v>
      </c>
      <c r="D539" s="92">
        <v>2.75</v>
      </c>
      <c r="E539" s="108">
        <f>(C539*2)+D539</f>
        <v>9.45</v>
      </c>
      <c r="F539" s="34"/>
      <c r="G539" s="35"/>
    </row>
    <row r="540" spans="1:7" ht="12.75">
      <c r="A540" s="33"/>
      <c r="B540" s="92" t="s">
        <v>293</v>
      </c>
      <c r="C540" s="92">
        <v>2.9</v>
      </c>
      <c r="D540" s="92">
        <v>1.25</v>
      </c>
      <c r="E540" s="108">
        <f>C540+(D540*2)</f>
        <v>5.4</v>
      </c>
      <c r="F540" s="34"/>
      <c r="G540" s="35"/>
    </row>
    <row r="541" spans="1:7" ht="12.75">
      <c r="A541" s="33"/>
      <c r="B541" s="92" t="s">
        <v>294</v>
      </c>
      <c r="C541" s="92">
        <v>3.9</v>
      </c>
      <c r="D541" s="92">
        <v>1.6</v>
      </c>
      <c r="E541" s="108">
        <f>(C541*2)+D541</f>
        <v>9.4</v>
      </c>
      <c r="F541" s="251"/>
      <c r="G541" s="276"/>
    </row>
    <row r="542" spans="1:7" ht="12.75">
      <c r="A542" s="33"/>
      <c r="B542" s="92" t="s">
        <v>274</v>
      </c>
      <c r="C542" s="92">
        <v>3.35</v>
      </c>
      <c r="D542" s="86">
        <v>2.75</v>
      </c>
      <c r="E542" s="108">
        <f>C542+(D542*2)</f>
        <v>8.85</v>
      </c>
      <c r="F542" s="34"/>
      <c r="G542" s="35"/>
    </row>
    <row r="543" spans="1:14" ht="13.5" thickBot="1">
      <c r="A543" s="33"/>
      <c r="B543" s="92" t="s">
        <v>311</v>
      </c>
      <c r="C543" s="92">
        <v>5.5</v>
      </c>
      <c r="D543" s="86">
        <v>8.9</v>
      </c>
      <c r="E543" s="238">
        <f>(C543+D543)*2</f>
        <v>28.8</v>
      </c>
      <c r="F543" s="34"/>
      <c r="G543" s="35"/>
      <c r="K543" s="206"/>
      <c r="L543" s="206"/>
      <c r="M543" s="206"/>
      <c r="N543" s="206"/>
    </row>
    <row r="544" spans="1:7" ht="13.5" thickBot="1">
      <c r="A544" s="33"/>
      <c r="B544" s="70"/>
      <c r="C544" s="45"/>
      <c r="D544" s="202" t="s">
        <v>2</v>
      </c>
      <c r="E544" s="212">
        <f>SUM(E520:E543)</f>
        <v>268.22</v>
      </c>
      <c r="F544" s="34"/>
      <c r="G544" s="35"/>
    </row>
    <row r="545" spans="1:7" ht="13.5" thickBot="1">
      <c r="A545" s="33"/>
      <c r="B545" s="476"/>
      <c r="C545" s="70"/>
      <c r="D545" s="231"/>
      <c r="E545" s="70"/>
      <c r="F545" s="271"/>
      <c r="G545" s="35"/>
    </row>
    <row r="546" spans="1:7" ht="13.5" thickBot="1">
      <c r="A546" s="79" t="s">
        <v>55</v>
      </c>
      <c r="B546" s="562" t="s">
        <v>67</v>
      </c>
      <c r="C546" s="563"/>
      <c r="D546" s="563"/>
      <c r="E546" s="563"/>
      <c r="F546" s="563"/>
      <c r="G546" s="575"/>
    </row>
    <row r="547" spans="1:7" ht="13.5" thickBot="1">
      <c r="A547" s="64"/>
      <c r="B547" s="60"/>
      <c r="C547" s="68"/>
      <c r="D547" s="52"/>
      <c r="E547" s="52"/>
      <c r="F547" s="34"/>
      <c r="G547" s="35"/>
    </row>
    <row r="548" spans="1:7" ht="13.5" thickBot="1">
      <c r="A548" s="80" t="s">
        <v>29</v>
      </c>
      <c r="B548" s="545" t="s">
        <v>60</v>
      </c>
      <c r="C548" s="546"/>
      <c r="D548" s="546"/>
      <c r="E548" s="547"/>
      <c r="F548" s="81">
        <f>F565</f>
        <v>266.36</v>
      </c>
      <c r="G548" s="80" t="s">
        <v>107</v>
      </c>
    </row>
    <row r="549" spans="1:7" ht="12.75">
      <c r="A549" s="29"/>
      <c r="B549" s="34"/>
      <c r="C549" s="34"/>
      <c r="D549" s="34"/>
      <c r="E549" s="45"/>
      <c r="F549" s="34"/>
      <c r="G549" s="35"/>
    </row>
    <row r="550" spans="1:7" ht="12.75">
      <c r="A550" s="479"/>
      <c r="B550" s="114" t="s">
        <v>20</v>
      </c>
      <c r="C550" s="114" t="s">
        <v>21</v>
      </c>
      <c r="D550" s="114" t="s">
        <v>22</v>
      </c>
      <c r="E550" s="114" t="s">
        <v>24</v>
      </c>
      <c r="F550" s="245" t="s">
        <v>23</v>
      </c>
      <c r="G550" s="55"/>
    </row>
    <row r="551" spans="1:7" ht="12.75">
      <c r="A551" s="477"/>
      <c r="B551" s="103" t="s">
        <v>276</v>
      </c>
      <c r="C551" s="108">
        <v>2.9</v>
      </c>
      <c r="D551" s="108">
        <v>3</v>
      </c>
      <c r="E551" s="109">
        <v>2</v>
      </c>
      <c r="F551" s="110">
        <f aca="true" t="shared" si="13" ref="F551:F563">C551*D551*E551</f>
        <v>17.4</v>
      </c>
      <c r="G551" s="55"/>
    </row>
    <row r="552" spans="1:7" ht="12.75">
      <c r="A552" s="477"/>
      <c r="B552" s="103" t="s">
        <v>277</v>
      </c>
      <c r="C552" s="108">
        <v>2</v>
      </c>
      <c r="D552" s="108">
        <v>3</v>
      </c>
      <c r="E552" s="109">
        <v>2</v>
      </c>
      <c r="F552" s="110">
        <f t="shared" si="13"/>
        <v>12</v>
      </c>
      <c r="G552" s="55"/>
    </row>
    <row r="553" spans="1:7" ht="12.75">
      <c r="A553" s="477"/>
      <c r="B553" s="103" t="s">
        <v>224</v>
      </c>
      <c r="C553" s="108">
        <v>2.6</v>
      </c>
      <c r="D553" s="108">
        <v>3</v>
      </c>
      <c r="E553" s="109">
        <v>2</v>
      </c>
      <c r="F553" s="110">
        <f t="shared" si="13"/>
        <v>15.6</v>
      </c>
      <c r="G553" s="55"/>
    </row>
    <row r="554" spans="1:7" ht="12.75">
      <c r="A554" s="477"/>
      <c r="B554" s="103" t="s">
        <v>240</v>
      </c>
      <c r="C554" s="108">
        <v>3.3</v>
      </c>
      <c r="D554" s="108">
        <v>3</v>
      </c>
      <c r="E554" s="109">
        <v>1</v>
      </c>
      <c r="F554" s="110">
        <f t="shared" si="13"/>
        <v>9.9</v>
      </c>
      <c r="G554" s="55"/>
    </row>
    <row r="555" spans="1:7" ht="12.75">
      <c r="A555" s="477"/>
      <c r="B555" s="103" t="s">
        <v>234</v>
      </c>
      <c r="C555" s="108">
        <v>3.3</v>
      </c>
      <c r="D555" s="108">
        <v>3</v>
      </c>
      <c r="E555" s="109">
        <v>1</v>
      </c>
      <c r="F555" s="110">
        <f t="shared" si="13"/>
        <v>9.9</v>
      </c>
      <c r="G555" s="55"/>
    </row>
    <row r="556" spans="1:7" ht="12.75">
      <c r="A556" s="477"/>
      <c r="B556" s="103" t="s">
        <v>221</v>
      </c>
      <c r="C556" s="108">
        <v>1.6</v>
      </c>
      <c r="D556" s="108">
        <v>3</v>
      </c>
      <c r="E556" s="109">
        <v>2</v>
      </c>
      <c r="F556" s="110">
        <f t="shared" si="13"/>
        <v>9.6</v>
      </c>
      <c r="G556" s="55"/>
    </row>
    <row r="557" spans="1:7" ht="15" customHeight="1">
      <c r="A557" s="477"/>
      <c r="B557" s="103" t="s">
        <v>278</v>
      </c>
      <c r="C557" s="108">
        <v>2.15</v>
      </c>
      <c r="D557" s="108">
        <v>3</v>
      </c>
      <c r="E557" s="109">
        <v>2</v>
      </c>
      <c r="F557" s="110">
        <f t="shared" si="13"/>
        <v>12.9</v>
      </c>
      <c r="G557" s="55"/>
    </row>
    <row r="558" spans="1:7" ht="15" customHeight="1">
      <c r="A558" s="477"/>
      <c r="B558" s="103" t="s">
        <v>294</v>
      </c>
      <c r="C558" s="108">
        <v>1</v>
      </c>
      <c r="D558" s="108">
        <v>3</v>
      </c>
      <c r="E558" s="109">
        <v>2</v>
      </c>
      <c r="F558" s="110">
        <f t="shared" si="13"/>
        <v>6</v>
      </c>
      <c r="G558" s="55"/>
    </row>
    <row r="559" spans="1:7" ht="15" customHeight="1">
      <c r="A559" s="477"/>
      <c r="B559" s="103" t="s">
        <v>270</v>
      </c>
      <c r="C559" s="108">
        <v>2.05</v>
      </c>
      <c r="D559" s="108">
        <v>3</v>
      </c>
      <c r="E559" s="109">
        <v>2</v>
      </c>
      <c r="F559" s="110">
        <f t="shared" si="13"/>
        <v>12.3</v>
      </c>
      <c r="G559" s="55"/>
    </row>
    <row r="560" spans="1:7" ht="15" customHeight="1">
      <c r="A560" s="477"/>
      <c r="B560" s="103" t="s">
        <v>225</v>
      </c>
      <c r="C560" s="108">
        <v>0.8</v>
      </c>
      <c r="D560" s="108">
        <v>2.1</v>
      </c>
      <c r="E560" s="109">
        <v>2</v>
      </c>
      <c r="F560" s="110">
        <f t="shared" si="13"/>
        <v>3.36</v>
      </c>
      <c r="G560" s="55"/>
    </row>
    <row r="561" spans="1:7" ht="15" customHeight="1">
      <c r="A561" s="477"/>
      <c r="B561" s="103" t="s">
        <v>225</v>
      </c>
      <c r="C561" s="108">
        <v>1</v>
      </c>
      <c r="D561" s="108">
        <v>0.6</v>
      </c>
      <c r="E561" s="109">
        <v>2</v>
      </c>
      <c r="F561" s="110">
        <f t="shared" si="13"/>
        <v>1.2</v>
      </c>
      <c r="G561" s="55"/>
    </row>
    <row r="562" spans="1:7" ht="15.75" customHeight="1">
      <c r="A562" s="477"/>
      <c r="B562" s="103" t="s">
        <v>452</v>
      </c>
      <c r="C562" s="108">
        <v>5.65</v>
      </c>
      <c r="D562" s="108">
        <v>3.5</v>
      </c>
      <c r="E562" s="109">
        <v>4</v>
      </c>
      <c r="F562" s="110">
        <f t="shared" si="13"/>
        <v>79.1</v>
      </c>
      <c r="G562" s="55"/>
    </row>
    <row r="563" spans="1:7" ht="15.75" customHeight="1">
      <c r="A563" s="477"/>
      <c r="B563" s="103" t="s">
        <v>453</v>
      </c>
      <c r="C563" s="112">
        <v>9.2</v>
      </c>
      <c r="D563" s="112">
        <v>3.5</v>
      </c>
      <c r="E563" s="92">
        <v>2</v>
      </c>
      <c r="F563" s="110">
        <f t="shared" si="13"/>
        <v>64.4</v>
      </c>
      <c r="G563" s="55"/>
    </row>
    <row r="564" spans="1:7" ht="15.75" customHeight="1" thickBot="1">
      <c r="A564" s="477"/>
      <c r="B564" s="103" t="s">
        <v>298</v>
      </c>
      <c r="C564" s="108">
        <v>9.2</v>
      </c>
      <c r="D564" s="108">
        <v>1.38</v>
      </c>
      <c r="E564" s="109">
        <v>2</v>
      </c>
      <c r="F564" s="378">
        <f>((C564*D564)/2)*2</f>
        <v>12.7</v>
      </c>
      <c r="G564" s="55"/>
    </row>
    <row r="565" spans="1:7" ht="13.5" thickBot="1">
      <c r="A565" s="477"/>
      <c r="B565" s="50"/>
      <c r="C565" s="205"/>
      <c r="D565" s="34"/>
      <c r="E565" s="202" t="s">
        <v>2</v>
      </c>
      <c r="F565" s="212">
        <f>SUM(F551:F564)</f>
        <v>266.36</v>
      </c>
      <c r="G565" s="55"/>
    </row>
    <row r="566" spans="1:7" ht="15" customHeight="1" thickBot="1">
      <c r="A566" s="48"/>
      <c r="B566" s="34"/>
      <c r="C566" s="34"/>
      <c r="D566" s="34"/>
      <c r="E566" s="45"/>
      <c r="F566" s="34"/>
      <c r="G566" s="35"/>
    </row>
    <row r="567" spans="1:7" ht="52.5" customHeight="1" thickBot="1">
      <c r="A567" s="80" t="s">
        <v>316</v>
      </c>
      <c r="B567" s="545" t="str">
        <f>Planilha!C66</f>
        <v>MASSA ÚNICA, PARA RECEBIMENTO DE PINTURA, EM ARGAMASSA TRAÇO 1:2:8,EPARO MANUAL, APLICADA MANUALMENTE EM FACES INTERNAS DE PAREDES, ESPESSURA DE 20MM, COM EXECUÇÃO DE TALISCAS. AF_06/2014</v>
      </c>
      <c r="C567" s="546"/>
      <c r="D567" s="546"/>
      <c r="E567" s="547"/>
      <c r="F567" s="81">
        <f>F585</f>
        <v>232.95</v>
      </c>
      <c r="G567" s="80" t="s">
        <v>107</v>
      </c>
    </row>
    <row r="568" spans="1:7" ht="15" customHeight="1">
      <c r="A568" s="29"/>
      <c r="B568" s="34"/>
      <c r="C568" s="34"/>
      <c r="D568" s="34"/>
      <c r="E568" s="45"/>
      <c r="F568" s="34"/>
      <c r="G568" s="35"/>
    </row>
    <row r="569" spans="1:7" ht="15" customHeight="1">
      <c r="A569" s="479"/>
      <c r="B569" s="114" t="s">
        <v>20</v>
      </c>
      <c r="C569" s="114" t="s">
        <v>21</v>
      </c>
      <c r="D569" s="114" t="s">
        <v>22</v>
      </c>
      <c r="E569" s="114" t="s">
        <v>24</v>
      </c>
      <c r="F569" s="245" t="s">
        <v>23</v>
      </c>
      <c r="G569" s="55"/>
    </row>
    <row r="570" spans="1:7" ht="15" customHeight="1">
      <c r="A570" s="477"/>
      <c r="B570" s="103" t="s">
        <v>282</v>
      </c>
      <c r="C570" s="108">
        <v>2.9</v>
      </c>
      <c r="D570" s="108">
        <v>1.2</v>
      </c>
      <c r="E570" s="109">
        <v>1</v>
      </c>
      <c r="F570" s="110">
        <f aca="true" t="shared" si="14" ref="F570:F583">C570*D570*E570</f>
        <v>3.48</v>
      </c>
      <c r="G570" s="55"/>
    </row>
    <row r="571" spans="1:7" ht="15" customHeight="1">
      <c r="A571" s="477"/>
      <c r="B571" s="103" t="s">
        <v>361</v>
      </c>
      <c r="C571" s="108">
        <v>1.38</v>
      </c>
      <c r="D571" s="108">
        <v>1.2</v>
      </c>
      <c r="E571" s="109">
        <v>2</v>
      </c>
      <c r="F571" s="110">
        <f t="shared" si="14"/>
        <v>3.31</v>
      </c>
      <c r="G571" s="55"/>
    </row>
    <row r="572" spans="1:7" ht="12.75">
      <c r="A572" s="477"/>
      <c r="B572" s="103" t="s">
        <v>362</v>
      </c>
      <c r="C572" s="108">
        <v>2</v>
      </c>
      <c r="D572" s="108">
        <v>1.2</v>
      </c>
      <c r="E572" s="109">
        <v>2</v>
      </c>
      <c r="F572" s="110">
        <f t="shared" si="14"/>
        <v>4.8</v>
      </c>
      <c r="G572" s="55"/>
    </row>
    <row r="573" spans="1:7" ht="12.75">
      <c r="A573" s="477"/>
      <c r="B573" s="103" t="s">
        <v>224</v>
      </c>
      <c r="C573" s="108">
        <v>2.6</v>
      </c>
      <c r="D573" s="108">
        <v>3</v>
      </c>
      <c r="E573" s="109">
        <v>1</v>
      </c>
      <c r="F573" s="110">
        <f t="shared" si="14"/>
        <v>7.8</v>
      </c>
      <c r="G573" s="55"/>
    </row>
    <row r="574" spans="1:7" ht="12.75">
      <c r="A574" s="477"/>
      <c r="B574" s="103" t="s">
        <v>240</v>
      </c>
      <c r="C574" s="108">
        <v>3.3</v>
      </c>
      <c r="D574" s="108">
        <v>3</v>
      </c>
      <c r="E574" s="109">
        <v>1</v>
      </c>
      <c r="F574" s="110">
        <f t="shared" si="14"/>
        <v>9.9</v>
      </c>
      <c r="G574" s="55"/>
    </row>
    <row r="575" spans="1:7" ht="12.75">
      <c r="A575" s="477"/>
      <c r="B575" s="103" t="s">
        <v>234</v>
      </c>
      <c r="C575" s="108">
        <v>3.3</v>
      </c>
      <c r="D575" s="108">
        <v>3</v>
      </c>
      <c r="E575" s="109">
        <v>1</v>
      </c>
      <c r="F575" s="110">
        <f t="shared" si="14"/>
        <v>9.9</v>
      </c>
      <c r="G575" s="55"/>
    </row>
    <row r="576" spans="1:7" ht="15" customHeight="1">
      <c r="A576" s="477"/>
      <c r="B576" s="103" t="s">
        <v>221</v>
      </c>
      <c r="C576" s="108">
        <v>1.6</v>
      </c>
      <c r="D576" s="108">
        <v>1.2</v>
      </c>
      <c r="E576" s="109">
        <v>2</v>
      </c>
      <c r="F576" s="110">
        <f t="shared" si="14"/>
        <v>3.84</v>
      </c>
      <c r="G576" s="55"/>
    </row>
    <row r="577" spans="1:7" ht="15" customHeight="1">
      <c r="A577" s="477"/>
      <c r="B577" s="103" t="s">
        <v>278</v>
      </c>
      <c r="C577" s="108">
        <v>2.15</v>
      </c>
      <c r="D577" s="108">
        <v>1.2</v>
      </c>
      <c r="E577" s="109">
        <v>2</v>
      </c>
      <c r="F577" s="110">
        <f t="shared" si="14"/>
        <v>5.16</v>
      </c>
      <c r="G577" s="55"/>
    </row>
    <row r="578" spans="1:7" ht="15" customHeight="1">
      <c r="A578" s="477"/>
      <c r="B578" s="103" t="s">
        <v>270</v>
      </c>
      <c r="C578" s="108">
        <v>2.05</v>
      </c>
      <c r="D578" s="108">
        <v>3</v>
      </c>
      <c r="E578" s="109">
        <v>2</v>
      </c>
      <c r="F578" s="110">
        <f t="shared" si="14"/>
        <v>12.3</v>
      </c>
      <c r="G578" s="55"/>
    </row>
    <row r="579" spans="1:7" ht="15" customHeight="1">
      <c r="A579" s="477"/>
      <c r="B579" s="103" t="s">
        <v>294</v>
      </c>
      <c r="C579" s="108">
        <v>3.9</v>
      </c>
      <c r="D579" s="108">
        <v>3</v>
      </c>
      <c r="E579" s="109">
        <v>1</v>
      </c>
      <c r="F579" s="110">
        <f t="shared" si="14"/>
        <v>11.7</v>
      </c>
      <c r="G579" s="55"/>
    </row>
    <row r="580" spans="1:7" ht="15" customHeight="1">
      <c r="A580" s="477"/>
      <c r="B580" s="103" t="s">
        <v>225</v>
      </c>
      <c r="C580" s="108">
        <v>0.8</v>
      </c>
      <c r="D580" s="108">
        <v>2.1</v>
      </c>
      <c r="E580" s="109">
        <v>2</v>
      </c>
      <c r="F580" s="110">
        <f t="shared" si="14"/>
        <v>3.36</v>
      </c>
      <c r="G580" s="55"/>
    </row>
    <row r="581" spans="1:7" ht="15" customHeight="1">
      <c r="A581" s="477"/>
      <c r="B581" s="103" t="s">
        <v>225</v>
      </c>
      <c r="C581" s="108">
        <v>1</v>
      </c>
      <c r="D581" s="108">
        <v>0.6</v>
      </c>
      <c r="E581" s="109">
        <v>2</v>
      </c>
      <c r="F581" s="110">
        <f t="shared" si="14"/>
        <v>1.2</v>
      </c>
      <c r="G581" s="55"/>
    </row>
    <row r="582" spans="1:7" ht="15" customHeight="1">
      <c r="A582" s="477"/>
      <c r="B582" s="103" t="s">
        <v>452</v>
      </c>
      <c r="C582" s="108">
        <v>5.65</v>
      </c>
      <c r="D582" s="108">
        <v>3.5</v>
      </c>
      <c r="E582" s="109">
        <v>4</v>
      </c>
      <c r="F582" s="110">
        <f t="shared" si="14"/>
        <v>79.1</v>
      </c>
      <c r="G582" s="55"/>
    </row>
    <row r="583" spans="1:7" ht="15" customHeight="1">
      <c r="A583" s="477"/>
      <c r="B583" s="103" t="s">
        <v>452</v>
      </c>
      <c r="C583" s="108">
        <v>9.2</v>
      </c>
      <c r="D583" s="108">
        <v>3.5</v>
      </c>
      <c r="E583" s="109">
        <v>2</v>
      </c>
      <c r="F583" s="110">
        <f t="shared" si="14"/>
        <v>64.4</v>
      </c>
      <c r="G583" s="55"/>
    </row>
    <row r="584" spans="1:7" ht="15" customHeight="1" thickBot="1">
      <c r="A584" s="477"/>
      <c r="B584" s="103" t="s">
        <v>298</v>
      </c>
      <c r="C584" s="108">
        <v>9.2</v>
      </c>
      <c r="D584" s="108">
        <v>1.38</v>
      </c>
      <c r="E584" s="109">
        <v>2</v>
      </c>
      <c r="F584" s="378">
        <f>((C584*D584)/2)*2</f>
        <v>12.7</v>
      </c>
      <c r="G584" s="55"/>
    </row>
    <row r="585" spans="1:7" ht="15" customHeight="1" thickBot="1">
      <c r="A585" s="477"/>
      <c r="B585" s="34"/>
      <c r="C585" s="34"/>
      <c r="D585" s="34"/>
      <c r="E585" s="363" t="s">
        <v>2</v>
      </c>
      <c r="F585" s="212">
        <f>SUM(F570:F584)</f>
        <v>232.95</v>
      </c>
      <c r="G585" s="55"/>
    </row>
    <row r="586" spans="1:7" ht="15" customHeight="1" thickBot="1">
      <c r="A586" s="54"/>
      <c r="B586" s="52"/>
      <c r="C586" s="52"/>
      <c r="D586" s="52"/>
      <c r="E586" s="52"/>
      <c r="F586" s="52"/>
      <c r="G586" s="55"/>
    </row>
    <row r="587" spans="1:7" ht="39" customHeight="1" thickBot="1">
      <c r="A587" s="80" t="s">
        <v>317</v>
      </c>
      <c r="B587" s="545" t="str">
        <f>Planilha!C67</f>
        <v>EMBOÇO, PARA RECEBIMENTO DE CERÂMICA, EM ARGAMASSA TRAÇO 1:2:8, PREPARO MECÂNICO COM BETONEIRA 400L, APLICADO MANUALMENTE EM FACES INTERNAS DE PAREDES, PARA AMBIENTE COM ÁREA ENTRE 5M2 E 10M2, ESPESSURA DE 20MM, COM EXECUÇÃO DE TALISCAS. AF_06/2014</v>
      </c>
      <c r="C587" s="546"/>
      <c r="D587" s="546"/>
      <c r="E587" s="547"/>
      <c r="F587" s="81">
        <f>F594</f>
        <v>25.67</v>
      </c>
      <c r="G587" s="80" t="s">
        <v>19</v>
      </c>
    </row>
    <row r="588" spans="1:7" ht="15" customHeight="1">
      <c r="A588" s="33"/>
      <c r="B588" s="34"/>
      <c r="C588" s="34"/>
      <c r="D588" s="34"/>
      <c r="E588" s="45"/>
      <c r="F588" s="34"/>
      <c r="G588" s="35"/>
    </row>
    <row r="589" spans="1:7" ht="15" customHeight="1">
      <c r="A589" s="479"/>
      <c r="B589" s="114" t="s">
        <v>20</v>
      </c>
      <c r="C589" s="114" t="s">
        <v>21</v>
      </c>
      <c r="D589" s="114" t="s">
        <v>22</v>
      </c>
      <c r="E589" s="235" t="s">
        <v>24</v>
      </c>
      <c r="F589" s="114" t="s">
        <v>23</v>
      </c>
      <c r="G589" s="245"/>
    </row>
    <row r="590" spans="1:7" ht="15" customHeight="1">
      <c r="A590" s="477"/>
      <c r="B590" s="106" t="s">
        <v>283</v>
      </c>
      <c r="C590" s="108">
        <v>1.38</v>
      </c>
      <c r="D590" s="108">
        <v>1.8</v>
      </c>
      <c r="E590" s="273">
        <v>2</v>
      </c>
      <c r="F590" s="108">
        <f>(C590*D590)*E590</f>
        <v>4.97</v>
      </c>
      <c r="G590" s="110"/>
    </row>
    <row r="591" spans="1:7" ht="15" customHeight="1">
      <c r="A591" s="477"/>
      <c r="B591" s="106" t="s">
        <v>284</v>
      </c>
      <c r="C591" s="108">
        <v>2</v>
      </c>
      <c r="D591" s="108">
        <v>1.8</v>
      </c>
      <c r="E591" s="273">
        <v>2</v>
      </c>
      <c r="F591" s="108">
        <f>(C591*D591)*E591</f>
        <v>7.2</v>
      </c>
      <c r="G591" s="110"/>
    </row>
    <row r="592" spans="1:7" ht="16.5" customHeight="1">
      <c r="A592" s="477"/>
      <c r="B592" s="92" t="s">
        <v>285</v>
      </c>
      <c r="C592" s="92">
        <v>2.15</v>
      </c>
      <c r="D592" s="108">
        <v>1.8</v>
      </c>
      <c r="E592" s="274">
        <v>2</v>
      </c>
      <c r="F592" s="112">
        <f>(C592*D592)*E592</f>
        <v>7.74</v>
      </c>
      <c r="G592" s="110"/>
    </row>
    <row r="593" spans="1:7" ht="13.5" thickBot="1">
      <c r="A593" s="477"/>
      <c r="B593" s="92" t="s">
        <v>286</v>
      </c>
      <c r="C593" s="92">
        <v>1.6</v>
      </c>
      <c r="D593" s="108">
        <v>1.8</v>
      </c>
      <c r="E593" s="274">
        <v>2</v>
      </c>
      <c r="F593" s="112">
        <f>(C593*D593)*E593</f>
        <v>5.76</v>
      </c>
      <c r="G593" s="110"/>
    </row>
    <row r="594" spans="1:7" ht="13.5" thickBot="1">
      <c r="A594" s="477"/>
      <c r="B594" s="45"/>
      <c r="C594" s="45"/>
      <c r="D594" s="52"/>
      <c r="E594" s="78" t="s">
        <v>69</v>
      </c>
      <c r="F594" s="212">
        <f>SUM(F590:F593)</f>
        <v>25.67</v>
      </c>
      <c r="G594" s="110"/>
    </row>
    <row r="595" spans="1:7" ht="13.5" thickBot="1">
      <c r="A595" s="477"/>
      <c r="B595" s="34"/>
      <c r="C595" s="34"/>
      <c r="D595" s="34"/>
      <c r="E595" s="45"/>
      <c r="F595" s="481"/>
      <c r="G595" s="277"/>
    </row>
    <row r="596" spans="1:7" ht="13.5" thickBot="1">
      <c r="A596" s="33"/>
      <c r="B596" s="481"/>
      <c r="C596" s="37"/>
      <c r="D596" s="34"/>
      <c r="E596" s="45"/>
      <c r="F596" s="34"/>
      <c r="G596" s="61"/>
    </row>
    <row r="597" spans="1:14" s="206" customFormat="1" ht="13.5" thickBot="1">
      <c r="A597" s="79" t="s">
        <v>56</v>
      </c>
      <c r="B597" s="562" t="s">
        <v>64</v>
      </c>
      <c r="C597" s="563"/>
      <c r="D597" s="563"/>
      <c r="E597" s="563"/>
      <c r="F597" s="563"/>
      <c r="G597" s="575"/>
      <c r="K597"/>
      <c r="L597"/>
      <c r="M597"/>
      <c r="N597"/>
    </row>
    <row r="598" spans="1:7" ht="13.5" thickBot="1">
      <c r="A598" s="33"/>
      <c r="B598" s="560"/>
      <c r="C598" s="560"/>
      <c r="D598" s="560"/>
      <c r="E598" s="560"/>
      <c r="F598" s="560"/>
      <c r="G598" s="561"/>
    </row>
    <row r="599" spans="1:7" ht="13.5" thickBot="1">
      <c r="A599" s="80" t="s">
        <v>77</v>
      </c>
      <c r="B599" s="545" t="str">
        <f>Planilha!C69</f>
        <v>PISO EM CONCRETO, PREPARADO EM OBRA COM BETONEIRA, FCK 10MPA, SEM ARMAÇÃO, ACABAMENTO RÚSTICO, ESP. 5CM, INCLUSIVE FORNECIMENTO, LANÇAMENTO, ADENSAMENTO, SARRAFEAMENTO, EXCLUSIVE JUNTA DE DILATAÇÃO</v>
      </c>
      <c r="C599" s="546"/>
      <c r="D599" s="546"/>
      <c r="E599" s="547"/>
      <c r="F599" s="81">
        <f>E603</f>
        <v>48.95</v>
      </c>
      <c r="G599" s="80" t="s">
        <v>19</v>
      </c>
    </row>
    <row r="600" spans="1:7" ht="12.75">
      <c r="A600" s="33"/>
      <c r="B600" s="481"/>
      <c r="C600" s="481"/>
      <c r="D600" s="481"/>
      <c r="E600" s="481"/>
      <c r="F600" s="481"/>
      <c r="G600" s="482"/>
    </row>
    <row r="601" spans="1:7" ht="12.75">
      <c r="A601" s="33"/>
      <c r="B601" s="114" t="s">
        <v>20</v>
      </c>
      <c r="C601" s="114" t="s">
        <v>21</v>
      </c>
      <c r="D601" s="114" t="s">
        <v>26</v>
      </c>
      <c r="E601" s="114" t="s">
        <v>23</v>
      </c>
      <c r="F601" s="481"/>
      <c r="G601" s="482"/>
    </row>
    <row r="602" spans="1:7" ht="13.5" thickBot="1">
      <c r="A602" s="33"/>
      <c r="B602" s="106" t="s">
        <v>311</v>
      </c>
      <c r="C602" s="108">
        <v>5.5</v>
      </c>
      <c r="D602" s="238">
        <v>8.9</v>
      </c>
      <c r="E602" s="238">
        <f>C602*D602</f>
        <v>48.95</v>
      </c>
      <c r="F602" s="481"/>
      <c r="G602" s="482"/>
    </row>
    <row r="603" spans="1:7" ht="13.5" thickBot="1">
      <c r="A603" s="33"/>
      <c r="B603" s="481"/>
      <c r="C603" s="481"/>
      <c r="D603" s="78" t="s">
        <v>2</v>
      </c>
      <c r="E603" s="212">
        <f>E602</f>
        <v>48.95</v>
      </c>
      <c r="F603" s="481"/>
      <c r="G603" s="482"/>
    </row>
    <row r="604" spans="1:7" ht="13.5" thickBot="1">
      <c r="A604" s="33"/>
      <c r="B604" s="481"/>
      <c r="C604" s="481"/>
      <c r="D604" s="481"/>
      <c r="E604" s="481"/>
      <c r="F604" s="481"/>
      <c r="G604" s="482"/>
    </row>
    <row r="605" spans="1:7" ht="13.5" thickBot="1">
      <c r="A605" s="80" t="s">
        <v>122</v>
      </c>
      <c r="B605" s="545" t="str">
        <f>Planilha!C70</f>
        <v>CONTRAPISO DESEMPENADO COM ARGAMASSA, TRAÇO 1:3 (CIMENTO E AREIA), ESP. 20MM</v>
      </c>
      <c r="C605" s="546"/>
      <c r="D605" s="546"/>
      <c r="E605" s="547"/>
      <c r="F605" s="81">
        <f>E610</f>
        <v>51.84</v>
      </c>
      <c r="G605" s="80" t="s">
        <v>19</v>
      </c>
    </row>
    <row r="606" spans="1:7" ht="12.75">
      <c r="A606" s="33"/>
      <c r="B606" s="481"/>
      <c r="C606" s="481"/>
      <c r="D606" s="481"/>
      <c r="E606" s="481"/>
      <c r="F606" s="481"/>
      <c r="G606" s="482"/>
    </row>
    <row r="607" spans="1:7" ht="12.75">
      <c r="A607" s="33"/>
      <c r="B607" s="114" t="s">
        <v>20</v>
      </c>
      <c r="C607" s="114" t="s">
        <v>21</v>
      </c>
      <c r="D607" s="114" t="s">
        <v>26</v>
      </c>
      <c r="E607" s="114" t="s">
        <v>23</v>
      </c>
      <c r="F607" s="481"/>
      <c r="G607" s="482"/>
    </row>
    <row r="608" spans="1:7" ht="12.75">
      <c r="A608" s="33"/>
      <c r="B608" s="106" t="s">
        <v>311</v>
      </c>
      <c r="C608" s="108">
        <v>5.5</v>
      </c>
      <c r="D608" s="108">
        <v>8.9</v>
      </c>
      <c r="E608" s="108">
        <f>C608*D608</f>
        <v>48.95</v>
      </c>
      <c r="F608" s="481"/>
      <c r="G608" s="482"/>
    </row>
    <row r="609" spans="1:7" ht="13.5" thickBot="1">
      <c r="A609" s="33"/>
      <c r="B609" s="106" t="s">
        <v>462</v>
      </c>
      <c r="C609" s="108">
        <v>1.7</v>
      </c>
      <c r="D609" s="238">
        <v>1.7</v>
      </c>
      <c r="E609" s="238">
        <f>C609*D609</f>
        <v>2.89</v>
      </c>
      <c r="F609" s="481"/>
      <c r="G609" s="482"/>
    </row>
    <row r="610" spans="1:7" ht="13.5" thickBot="1">
      <c r="A610" s="33"/>
      <c r="B610" s="481"/>
      <c r="C610" s="481"/>
      <c r="D610" s="78" t="s">
        <v>2</v>
      </c>
      <c r="E610" s="212">
        <f>E608+E609</f>
        <v>51.84</v>
      </c>
      <c r="F610" s="481"/>
      <c r="G610" s="482"/>
    </row>
    <row r="611" spans="1:7" ht="12.75">
      <c r="A611" s="33"/>
      <c r="B611" s="481"/>
      <c r="C611" s="481"/>
      <c r="D611" s="481"/>
      <c r="E611" s="481"/>
      <c r="F611" s="481"/>
      <c r="G611" s="482"/>
    </row>
    <row r="612" spans="1:7" ht="13.5" thickBot="1">
      <c r="A612" s="33"/>
      <c r="B612" s="481"/>
      <c r="C612" s="481"/>
      <c r="D612" s="481"/>
      <c r="E612" s="481"/>
      <c r="F612" s="481"/>
      <c r="G612" s="482"/>
    </row>
    <row r="613" spans="1:7" ht="13.5" thickBot="1">
      <c r="A613" s="80" t="s">
        <v>123</v>
      </c>
      <c r="B613" s="545" t="str">
        <f>Planilha!C71</f>
        <v>REVESTIMENTO CERÂMICO PARA PISO COM PLACAS TIPO ESMALTADA EXTRA DE DIMENSÕES 45X45 CM APLICADA EM AMBIENTES DE ÁREA MENOR QUE 5 M2. AF_06/20</v>
      </c>
      <c r="C613" s="546"/>
      <c r="D613" s="546"/>
      <c r="E613" s="547"/>
      <c r="F613" s="81">
        <f>E624</f>
        <v>27.12</v>
      </c>
      <c r="G613" s="80" t="s">
        <v>19</v>
      </c>
    </row>
    <row r="614" spans="1:7" ht="12.75">
      <c r="A614" s="33"/>
      <c r="B614" s="34"/>
      <c r="C614" s="34"/>
      <c r="D614" s="34"/>
      <c r="E614" s="45"/>
      <c r="F614" s="34"/>
      <c r="G614" s="35"/>
    </row>
    <row r="615" spans="1:7" ht="12.75">
      <c r="A615" s="477"/>
      <c r="B615" s="114" t="s">
        <v>20</v>
      </c>
      <c r="C615" s="114" t="s">
        <v>268</v>
      </c>
      <c r="D615" s="114" t="s">
        <v>295</v>
      </c>
      <c r="E615" s="114" t="s">
        <v>246</v>
      </c>
      <c r="F615" s="50"/>
      <c r="G615" s="35"/>
    </row>
    <row r="616" spans="1:7" ht="12.75">
      <c r="A616" s="477"/>
      <c r="B616" s="106" t="s">
        <v>291</v>
      </c>
      <c r="C616" s="108">
        <v>1.38</v>
      </c>
      <c r="D616" s="108">
        <v>2</v>
      </c>
      <c r="E616" s="108">
        <f aca="true" t="shared" si="15" ref="E616:E623">C616*D616</f>
        <v>2.76</v>
      </c>
      <c r="F616" s="41"/>
      <c r="G616" s="35"/>
    </row>
    <row r="617" spans="1:7" ht="12.75">
      <c r="A617" s="477"/>
      <c r="B617" s="106" t="s">
        <v>292</v>
      </c>
      <c r="C617" s="108">
        <v>1.38</v>
      </c>
      <c r="D617" s="108">
        <v>2</v>
      </c>
      <c r="E617" s="108">
        <f t="shared" si="15"/>
        <v>2.76</v>
      </c>
      <c r="F617" s="41"/>
      <c r="G617" s="35"/>
    </row>
    <row r="618" spans="1:7" ht="12.75">
      <c r="A618" s="33"/>
      <c r="B618" s="92" t="s">
        <v>221</v>
      </c>
      <c r="C618" s="92">
        <v>2.15</v>
      </c>
      <c r="D618" s="92">
        <v>1.6</v>
      </c>
      <c r="E618" s="108">
        <f t="shared" si="15"/>
        <v>3.44</v>
      </c>
      <c r="F618" s="37"/>
      <c r="G618" s="35"/>
    </row>
    <row r="619" spans="1:7" ht="12.75">
      <c r="A619" s="33"/>
      <c r="B619" s="92" t="s">
        <v>275</v>
      </c>
      <c r="C619" s="92">
        <v>3.05</v>
      </c>
      <c r="D619" s="92">
        <v>1.6</v>
      </c>
      <c r="E619" s="108">
        <f t="shared" si="15"/>
        <v>4.88</v>
      </c>
      <c r="F619" s="37"/>
      <c r="G619" s="35"/>
    </row>
    <row r="620" spans="1:7" ht="12.75">
      <c r="A620" s="33"/>
      <c r="B620" s="92" t="s">
        <v>235</v>
      </c>
      <c r="C620" s="92">
        <v>1.2</v>
      </c>
      <c r="D620" s="92">
        <v>1.2</v>
      </c>
      <c r="E620" s="108">
        <f t="shared" si="15"/>
        <v>1.44</v>
      </c>
      <c r="F620" s="37"/>
      <c r="G620" s="35"/>
    </row>
    <row r="621" spans="1:7" ht="12.75">
      <c r="A621" s="33"/>
      <c r="B621" s="86" t="s">
        <v>270</v>
      </c>
      <c r="C621" s="86">
        <v>2.05</v>
      </c>
      <c r="D621" s="86">
        <v>1.7</v>
      </c>
      <c r="E621" s="108">
        <f t="shared" si="15"/>
        <v>3.49</v>
      </c>
      <c r="F621" s="37"/>
      <c r="G621" s="35"/>
    </row>
    <row r="622" spans="1:7" ht="12.75">
      <c r="A622" s="33"/>
      <c r="B622" s="92" t="s">
        <v>287</v>
      </c>
      <c r="C622" s="92">
        <v>2.05</v>
      </c>
      <c r="D622" s="92">
        <v>2.3</v>
      </c>
      <c r="E622" s="108">
        <f t="shared" si="15"/>
        <v>4.72</v>
      </c>
      <c r="F622" s="37"/>
      <c r="G622" s="35"/>
    </row>
    <row r="623" spans="1:7" ht="13.5" thickBot="1">
      <c r="A623" s="33"/>
      <c r="B623" s="92" t="s">
        <v>293</v>
      </c>
      <c r="C623" s="92">
        <v>2.9</v>
      </c>
      <c r="D623" s="92">
        <v>1.25</v>
      </c>
      <c r="E623" s="108">
        <f t="shared" si="15"/>
        <v>3.63</v>
      </c>
      <c r="F623" s="37"/>
      <c r="G623" s="35"/>
    </row>
    <row r="624" spans="1:7" ht="13.5" thickBot="1">
      <c r="A624" s="33"/>
      <c r="B624" s="70"/>
      <c r="C624" s="45"/>
      <c r="D624" s="202" t="s">
        <v>2</v>
      </c>
      <c r="E624" s="212">
        <f>SUM(E616:E623)</f>
        <v>27.12</v>
      </c>
      <c r="F624" s="34"/>
      <c r="G624" s="35"/>
    </row>
    <row r="625" spans="1:7" ht="12.75">
      <c r="A625" s="33"/>
      <c r="B625" s="70"/>
      <c r="C625" s="45"/>
      <c r="D625" s="292"/>
      <c r="E625" s="37"/>
      <c r="F625" s="34"/>
      <c r="G625" s="35"/>
    </row>
    <row r="626" spans="1:7" ht="13.5" thickBot="1">
      <c r="A626" s="33"/>
      <c r="B626" s="70"/>
      <c r="C626" s="45"/>
      <c r="D626" s="292"/>
      <c r="E626" s="37"/>
      <c r="F626" s="34"/>
      <c r="G626" s="35"/>
    </row>
    <row r="627" spans="1:7" ht="13.5" thickBot="1">
      <c r="A627" s="80" t="s">
        <v>126</v>
      </c>
      <c r="B627" s="545" t="str">
        <f>Planilha!C72</f>
        <v>REVESTIMENTO CERÂMICO PARA PISO COM PLACAS TIPO ESMALTADA EXTRA DE ENSÕES 45X45 CM APLICADA EM AMBIENTES DE ÁREA ENTRE 5 M2 E 10 M2. AF_06/2014</v>
      </c>
      <c r="C627" s="546"/>
      <c r="D627" s="546"/>
      <c r="E627" s="547"/>
      <c r="F627" s="81">
        <f>E639</f>
        <v>65.22</v>
      </c>
      <c r="G627" s="80" t="s">
        <v>19</v>
      </c>
    </row>
    <row r="628" spans="1:7" ht="12.75">
      <c r="A628" s="33"/>
      <c r="B628" s="70"/>
      <c r="C628" s="45"/>
      <c r="D628" s="292"/>
      <c r="E628" s="37"/>
      <c r="F628" s="34"/>
      <c r="G628" s="35"/>
    </row>
    <row r="629" spans="1:7" ht="12.75">
      <c r="A629" s="33"/>
      <c r="B629" s="114" t="s">
        <v>20</v>
      </c>
      <c r="C629" s="114" t="s">
        <v>268</v>
      </c>
      <c r="D629" s="114" t="s">
        <v>295</v>
      </c>
      <c r="E629" s="114" t="s">
        <v>246</v>
      </c>
      <c r="F629" s="34"/>
      <c r="G629" s="35"/>
    </row>
    <row r="630" spans="1:7" ht="12.75">
      <c r="A630" s="33"/>
      <c r="B630" s="106" t="s">
        <v>226</v>
      </c>
      <c r="C630" s="108">
        <v>2.45</v>
      </c>
      <c r="D630" s="108">
        <v>3.25</v>
      </c>
      <c r="E630" s="108">
        <f aca="true" t="shared" si="16" ref="E630:E638">C630*D630</f>
        <v>7.96</v>
      </c>
      <c r="F630" s="34"/>
      <c r="G630" s="35"/>
    </row>
    <row r="631" spans="1:7" ht="12.75" hidden="1">
      <c r="A631" s="33"/>
      <c r="B631" s="106" t="s">
        <v>229</v>
      </c>
      <c r="C631" s="108">
        <v>1.75</v>
      </c>
      <c r="D631" s="108">
        <v>3.25</v>
      </c>
      <c r="E631" s="108">
        <f t="shared" si="16"/>
        <v>5.69</v>
      </c>
      <c r="F631" s="34"/>
      <c r="G631" s="35"/>
    </row>
    <row r="632" spans="1:7" ht="12.75">
      <c r="A632" s="33"/>
      <c r="B632" s="92" t="s">
        <v>537</v>
      </c>
      <c r="C632" s="108">
        <v>1.8</v>
      </c>
      <c r="D632" s="108">
        <v>3.25</v>
      </c>
      <c r="E632" s="108">
        <f t="shared" si="16"/>
        <v>5.85</v>
      </c>
      <c r="F632" s="34"/>
      <c r="G632" s="35"/>
    </row>
    <row r="633" spans="1:7" ht="12.75">
      <c r="A633" s="33"/>
      <c r="B633" s="106" t="s">
        <v>239</v>
      </c>
      <c r="C633" s="108">
        <v>3.05</v>
      </c>
      <c r="D633" s="108">
        <v>3.25</v>
      </c>
      <c r="E633" s="108">
        <f>C633*D633</f>
        <v>9.91</v>
      </c>
      <c r="F633" s="34"/>
      <c r="G633" s="35"/>
    </row>
    <row r="634" spans="1:7" ht="12.75">
      <c r="A634" s="33"/>
      <c r="B634" s="92" t="s">
        <v>530</v>
      </c>
      <c r="C634" s="92">
        <v>3.3</v>
      </c>
      <c r="D634" s="92">
        <v>1.35</v>
      </c>
      <c r="E634" s="108">
        <f t="shared" si="16"/>
        <v>4.46</v>
      </c>
      <c r="F634" s="34"/>
      <c r="G634" s="35"/>
    </row>
    <row r="635" spans="1:7" ht="12.75">
      <c r="A635" s="33"/>
      <c r="B635" s="92" t="s">
        <v>232</v>
      </c>
      <c r="C635" s="92">
        <v>3.3</v>
      </c>
      <c r="D635" s="92">
        <v>2.6</v>
      </c>
      <c r="E635" s="108">
        <f>C635*D635</f>
        <v>8.58</v>
      </c>
      <c r="F635" s="34"/>
      <c r="G635" s="35"/>
    </row>
    <row r="636" spans="1:7" ht="12.75">
      <c r="A636" s="33"/>
      <c r="B636" s="92" t="s">
        <v>219</v>
      </c>
      <c r="C636" s="92">
        <v>3.05</v>
      </c>
      <c r="D636" s="92">
        <v>2.4</v>
      </c>
      <c r="E636" s="108">
        <f t="shared" si="16"/>
        <v>7.32</v>
      </c>
      <c r="F636" s="34"/>
      <c r="G636" s="35"/>
    </row>
    <row r="637" spans="1:7" ht="12.75">
      <c r="A637" s="33"/>
      <c r="B637" s="92" t="s">
        <v>294</v>
      </c>
      <c r="C637" s="92">
        <v>3.9</v>
      </c>
      <c r="D637" s="92">
        <v>1.6</v>
      </c>
      <c r="E637" s="108">
        <f t="shared" si="16"/>
        <v>6.24</v>
      </c>
      <c r="F637" s="34"/>
      <c r="G637" s="35"/>
    </row>
    <row r="638" spans="1:7" ht="13.5" thickBot="1">
      <c r="A638" s="33"/>
      <c r="B638" s="92" t="s">
        <v>274</v>
      </c>
      <c r="C638" s="92">
        <v>3.35</v>
      </c>
      <c r="D638" s="86">
        <v>2.75</v>
      </c>
      <c r="E638" s="108">
        <f t="shared" si="16"/>
        <v>9.21</v>
      </c>
      <c r="F638" s="34"/>
      <c r="G638" s="35"/>
    </row>
    <row r="639" spans="1:7" ht="13.5" thickBot="1">
      <c r="A639" s="33"/>
      <c r="B639" s="70"/>
      <c r="C639" s="45"/>
      <c r="D639" s="202" t="s">
        <v>2</v>
      </c>
      <c r="E639" s="212">
        <f>SUM(E630:E638)</f>
        <v>65.22</v>
      </c>
      <c r="F639" s="34"/>
      <c r="G639" s="35"/>
    </row>
    <row r="640" spans="1:7" ht="13.5" thickBot="1">
      <c r="A640" s="33"/>
      <c r="B640" s="70"/>
      <c r="C640" s="45"/>
      <c r="D640" s="292"/>
      <c r="E640" s="37"/>
      <c r="F640" s="34"/>
      <c r="G640" s="35"/>
    </row>
    <row r="641" spans="1:7" ht="13.5" thickBot="1">
      <c r="A641" s="80" t="s">
        <v>458</v>
      </c>
      <c r="B641" s="545" t="str">
        <f>Planilha!C73</f>
        <v>REVESTIMENTO CERÂMICO PARA PISO COM PLACAS TIPO ESMALTADA EXTRA DE DIMENSÕES 45X45 CM APLICADA EM AMBIENTES DE ÁREA MAIOR QUE 10 M2. AF_06/2014</v>
      </c>
      <c r="C641" s="546"/>
      <c r="D641" s="546"/>
      <c r="E641" s="547"/>
      <c r="F641" s="81">
        <f>E652</f>
        <v>130.44</v>
      </c>
      <c r="G641" s="80" t="s">
        <v>19</v>
      </c>
    </row>
    <row r="642" spans="1:8" ht="13.5" customHeight="1">
      <c r="A642" s="33"/>
      <c r="B642" s="70"/>
      <c r="C642" s="45"/>
      <c r="D642" s="292"/>
      <c r="E642" s="37"/>
      <c r="F642" s="34"/>
      <c r="G642" s="35"/>
      <c r="H642">
        <f>E624*10%</f>
        <v>2.712</v>
      </c>
    </row>
    <row r="643" spans="1:7" ht="13.5" customHeight="1">
      <c r="A643" s="33"/>
      <c r="B643" s="114" t="s">
        <v>20</v>
      </c>
      <c r="C643" s="114" t="s">
        <v>268</v>
      </c>
      <c r="D643" s="114" t="s">
        <v>295</v>
      </c>
      <c r="E643" s="114" t="s">
        <v>246</v>
      </c>
      <c r="F643" s="34"/>
      <c r="G643" s="35"/>
    </row>
    <row r="644" spans="1:7" ht="12.75">
      <c r="A644" s="33"/>
      <c r="B644" s="92" t="s">
        <v>224</v>
      </c>
      <c r="C644" s="92">
        <v>2.6</v>
      </c>
      <c r="D644" s="92">
        <v>4.4</v>
      </c>
      <c r="E644" s="108">
        <f aca="true" t="shared" si="17" ref="E644:E651">C644*D644</f>
        <v>11.44</v>
      </c>
      <c r="F644" s="34"/>
      <c r="G644" s="35"/>
    </row>
    <row r="645" spans="1:7" ht="13.5" customHeight="1">
      <c r="A645" s="33"/>
      <c r="B645" s="92" t="s">
        <v>234</v>
      </c>
      <c r="C645" s="92">
        <v>3.3</v>
      </c>
      <c r="D645" s="92">
        <v>3.1</v>
      </c>
      <c r="E645" s="108">
        <f t="shared" si="17"/>
        <v>10.23</v>
      </c>
      <c r="F645" s="34"/>
      <c r="G645" s="35"/>
    </row>
    <row r="646" spans="1:7" ht="13.5" customHeight="1">
      <c r="A646" s="33"/>
      <c r="B646" s="92" t="s">
        <v>225</v>
      </c>
      <c r="C646" s="92">
        <v>5.95</v>
      </c>
      <c r="D646" s="92">
        <v>2.6</v>
      </c>
      <c r="E646" s="108">
        <f t="shared" si="17"/>
        <v>15.47</v>
      </c>
      <c r="F646" s="34"/>
      <c r="G646" s="35"/>
    </row>
    <row r="647" spans="1:7" ht="12.75">
      <c r="A647" s="33"/>
      <c r="B647" s="92" t="s">
        <v>223</v>
      </c>
      <c r="C647" s="92">
        <v>3.6</v>
      </c>
      <c r="D647" s="92">
        <v>4.15</v>
      </c>
      <c r="E647" s="108">
        <f t="shared" si="17"/>
        <v>14.94</v>
      </c>
      <c r="F647" s="34"/>
      <c r="G647" s="35"/>
    </row>
    <row r="648" spans="1:7" ht="13.5" customHeight="1">
      <c r="A648" s="33"/>
      <c r="B648" s="92" t="s">
        <v>236</v>
      </c>
      <c r="C648" s="92">
        <v>9.15</v>
      </c>
      <c r="D648" s="92">
        <v>1.2</v>
      </c>
      <c r="E648" s="108">
        <f t="shared" si="17"/>
        <v>10.98</v>
      </c>
      <c r="F648" s="34"/>
      <c r="G648" s="35"/>
    </row>
    <row r="649" spans="1:7" ht="13.5" customHeight="1">
      <c r="A649" s="33"/>
      <c r="B649" s="92" t="s">
        <v>237</v>
      </c>
      <c r="C649" s="92">
        <v>6.7</v>
      </c>
      <c r="D649" s="92">
        <v>2.75</v>
      </c>
      <c r="E649" s="108">
        <f t="shared" si="17"/>
        <v>18.43</v>
      </c>
      <c r="F649" s="34"/>
      <c r="G649" s="35"/>
    </row>
    <row r="650" spans="1:7" ht="13.5" customHeight="1">
      <c r="A650" s="33"/>
      <c r="B650" s="92" t="s">
        <v>311</v>
      </c>
      <c r="C650" s="92">
        <v>5.5</v>
      </c>
      <c r="D650" s="86">
        <v>8.9</v>
      </c>
      <c r="E650" s="108">
        <f t="shared" si="17"/>
        <v>48.95</v>
      </c>
      <c r="F650" s="34"/>
      <c r="G650" s="35"/>
    </row>
    <row r="651" spans="1:7" ht="13.5" customHeight="1" thickBot="1">
      <c r="A651" s="33"/>
      <c r="B651" s="92" t="s">
        <v>462</v>
      </c>
      <c r="C651" s="92">
        <v>24.05</v>
      </c>
      <c r="D651" s="92">
        <v>1.7</v>
      </c>
      <c r="E651" s="108">
        <f t="shared" si="17"/>
        <v>40.89</v>
      </c>
      <c r="F651" s="34"/>
      <c r="G651" s="35"/>
    </row>
    <row r="652" spans="1:7" ht="13.5" customHeight="1" thickBot="1">
      <c r="A652" s="33"/>
      <c r="B652" s="70"/>
      <c r="C652" s="45"/>
      <c r="D652" s="202" t="s">
        <v>2</v>
      </c>
      <c r="E652" s="381">
        <f>SUM(E644:E650)</f>
        <v>130.44</v>
      </c>
      <c r="F652" s="34"/>
      <c r="G652" s="35"/>
    </row>
    <row r="653" spans="1:7" ht="13.5" customHeight="1" thickBot="1">
      <c r="A653" s="33"/>
      <c r="B653" s="70"/>
      <c r="C653" s="45"/>
      <c r="D653" s="293"/>
      <c r="E653" s="287"/>
      <c r="F653" s="34"/>
      <c r="G653" s="35"/>
    </row>
    <row r="654" spans="1:7" ht="13.5" customHeight="1" thickBot="1">
      <c r="A654" s="80" t="s">
        <v>459</v>
      </c>
      <c r="B654" s="545" t="str">
        <f>Planilha!C74</f>
        <v>RODAPÉ CERÂMICO DE 7CM DE ALTURA COM PLACAS TIPO ESMALTADA EXTRA DE DIMENSÕES 45X45CM. AF_06/2014</v>
      </c>
      <c r="C654" s="546"/>
      <c r="D654" s="546"/>
      <c r="E654" s="547"/>
      <c r="F654" s="81">
        <f>E678</f>
        <v>250.55</v>
      </c>
      <c r="G654" s="80" t="s">
        <v>19</v>
      </c>
    </row>
    <row r="655" spans="1:7" ht="13.5" customHeight="1">
      <c r="A655" s="33"/>
      <c r="B655" s="70"/>
      <c r="C655" s="45"/>
      <c r="D655" s="292"/>
      <c r="E655" s="37"/>
      <c r="F655" s="34"/>
      <c r="G655" s="35"/>
    </row>
    <row r="656" spans="1:7" ht="13.5" customHeight="1">
      <c r="A656" s="40"/>
      <c r="B656" s="42"/>
      <c r="C656" s="42"/>
      <c r="D656" s="42"/>
      <c r="E656" s="42"/>
      <c r="F656" s="43"/>
      <c r="G656" s="44"/>
    </row>
    <row r="657" spans="1:7" ht="13.5" customHeight="1">
      <c r="A657" s="477"/>
      <c r="B657" s="114" t="s">
        <v>20</v>
      </c>
      <c r="C657" s="114" t="s">
        <v>21</v>
      </c>
      <c r="D657" s="114" t="s">
        <v>497</v>
      </c>
      <c r="E657" s="114" t="s">
        <v>296</v>
      </c>
      <c r="F657" s="52"/>
      <c r="G657" s="55"/>
    </row>
    <row r="658" spans="1:7" ht="13.5" customHeight="1">
      <c r="A658" s="477"/>
      <c r="B658" s="106" t="s">
        <v>229</v>
      </c>
      <c r="C658" s="108">
        <v>1.75</v>
      </c>
      <c r="D658" s="108">
        <v>3.25</v>
      </c>
      <c r="E658" s="108">
        <f aca="true" t="shared" si="18" ref="E658:E670">(C658+D658)*2</f>
        <v>10</v>
      </c>
      <c r="F658" s="294"/>
      <c r="G658" s="275"/>
    </row>
    <row r="659" spans="1:7" ht="13.5" customHeight="1">
      <c r="A659" s="477"/>
      <c r="B659" s="92" t="s">
        <v>537</v>
      </c>
      <c r="C659" s="108">
        <v>1.8</v>
      </c>
      <c r="D659" s="108">
        <v>3.25</v>
      </c>
      <c r="E659" s="108">
        <f t="shared" si="18"/>
        <v>10.1</v>
      </c>
      <c r="F659" s="294"/>
      <c r="G659" s="275"/>
    </row>
    <row r="660" spans="1:7" ht="12.75">
      <c r="A660" s="33"/>
      <c r="B660" s="106" t="s">
        <v>239</v>
      </c>
      <c r="C660" s="108">
        <v>3.05</v>
      </c>
      <c r="D660" s="108">
        <v>3.25</v>
      </c>
      <c r="E660" s="108">
        <f t="shared" si="18"/>
        <v>12.6</v>
      </c>
      <c r="F660" s="294"/>
      <c r="G660" s="275"/>
    </row>
    <row r="661" spans="1:7" ht="13.5" customHeight="1">
      <c r="A661" s="477"/>
      <c r="B661" s="92" t="s">
        <v>224</v>
      </c>
      <c r="C661" s="92">
        <v>2.6</v>
      </c>
      <c r="D661" s="92">
        <v>4.4</v>
      </c>
      <c r="E661" s="108">
        <f t="shared" si="18"/>
        <v>14</v>
      </c>
      <c r="F661" s="294"/>
      <c r="G661" s="275"/>
    </row>
    <row r="662" spans="1:7" ht="13.5" customHeight="1">
      <c r="A662" s="477"/>
      <c r="B662" s="92" t="s">
        <v>234</v>
      </c>
      <c r="C662" s="92">
        <v>3.3</v>
      </c>
      <c r="D662" s="92">
        <v>3.1</v>
      </c>
      <c r="E662" s="108">
        <f t="shared" si="18"/>
        <v>12.8</v>
      </c>
      <c r="F662" s="294"/>
      <c r="G662" s="275"/>
    </row>
    <row r="663" spans="1:7" ht="13.5" customHeight="1">
      <c r="A663" s="477"/>
      <c r="B663" s="92" t="s">
        <v>232</v>
      </c>
      <c r="C663" s="92">
        <v>3.3</v>
      </c>
      <c r="D663" s="92">
        <v>2.6</v>
      </c>
      <c r="E663" s="108">
        <f t="shared" si="18"/>
        <v>11.8</v>
      </c>
      <c r="F663" s="294"/>
      <c r="G663" s="275"/>
    </row>
    <row r="664" spans="1:7" ht="13.5" customHeight="1">
      <c r="A664" s="477"/>
      <c r="B664" s="92" t="s">
        <v>225</v>
      </c>
      <c r="C664" s="92">
        <v>5.95</v>
      </c>
      <c r="D664" s="92">
        <v>2.6</v>
      </c>
      <c r="E664" s="108">
        <f t="shared" si="18"/>
        <v>17.1</v>
      </c>
      <c r="F664" s="294"/>
      <c r="G664" s="275"/>
    </row>
    <row r="665" spans="1:7" ht="13.5" customHeight="1">
      <c r="A665" s="477"/>
      <c r="B665" s="92" t="s">
        <v>275</v>
      </c>
      <c r="C665" s="92">
        <v>3.05</v>
      </c>
      <c r="D665" s="92">
        <v>1.6</v>
      </c>
      <c r="E665" s="108">
        <f t="shared" si="18"/>
        <v>9.3</v>
      </c>
      <c r="F665" s="294"/>
      <c r="G665" s="275"/>
    </row>
    <row r="666" spans="1:7" ht="13.5" customHeight="1">
      <c r="A666" s="477"/>
      <c r="B666" s="92" t="s">
        <v>219</v>
      </c>
      <c r="C666" s="92">
        <v>3.05</v>
      </c>
      <c r="D666" s="92">
        <v>2.4</v>
      </c>
      <c r="E666" s="108">
        <f t="shared" si="18"/>
        <v>10.9</v>
      </c>
      <c r="F666" s="294"/>
      <c r="G666" s="275"/>
    </row>
    <row r="667" spans="1:7" ht="13.5" customHeight="1">
      <c r="A667" s="477"/>
      <c r="B667" s="92" t="s">
        <v>223</v>
      </c>
      <c r="C667" s="92">
        <v>3.6</v>
      </c>
      <c r="D667" s="92">
        <v>4.15</v>
      </c>
      <c r="E667" s="108">
        <f t="shared" si="18"/>
        <v>15.5</v>
      </c>
      <c r="F667" s="294"/>
      <c r="G667" s="275"/>
    </row>
    <row r="668" spans="1:7" ht="13.5" customHeight="1">
      <c r="A668" s="477"/>
      <c r="B668" s="92" t="s">
        <v>235</v>
      </c>
      <c r="C668" s="92">
        <v>1.2</v>
      </c>
      <c r="D668" s="92">
        <v>1.2</v>
      </c>
      <c r="E668" s="108">
        <f t="shared" si="18"/>
        <v>4.8</v>
      </c>
      <c r="F668" s="294"/>
      <c r="G668" s="275"/>
    </row>
    <row r="669" spans="1:7" ht="13.5" customHeight="1">
      <c r="A669" s="477"/>
      <c r="B669" s="86" t="s">
        <v>270</v>
      </c>
      <c r="C669" s="86">
        <v>2.05</v>
      </c>
      <c r="D669" s="86">
        <v>1.7</v>
      </c>
      <c r="E669" s="108">
        <f t="shared" si="18"/>
        <v>7.5</v>
      </c>
      <c r="F669" s="294"/>
      <c r="G669" s="275"/>
    </row>
    <row r="670" spans="1:7" ht="13.5" customHeight="1">
      <c r="A670" s="477"/>
      <c r="B670" s="92" t="s">
        <v>287</v>
      </c>
      <c r="C670" s="92">
        <v>2.05</v>
      </c>
      <c r="D670" s="92">
        <v>2.3</v>
      </c>
      <c r="E670" s="108">
        <f t="shared" si="18"/>
        <v>8.7</v>
      </c>
      <c r="F670" s="294"/>
      <c r="G670" s="275"/>
    </row>
    <row r="671" spans="1:7" ht="12.75">
      <c r="A671" s="477"/>
      <c r="B671" s="92" t="s">
        <v>236</v>
      </c>
      <c r="C671" s="92">
        <v>9.15</v>
      </c>
      <c r="D671" s="92">
        <v>1.2</v>
      </c>
      <c r="E671" s="108">
        <f>(C671*2)+D671</f>
        <v>19.5</v>
      </c>
      <c r="F671" s="294"/>
      <c r="G671" s="275"/>
    </row>
    <row r="672" spans="1:7" ht="13.5" customHeight="1">
      <c r="A672" s="477"/>
      <c r="B672" s="92" t="s">
        <v>237</v>
      </c>
      <c r="C672" s="92">
        <v>3.35</v>
      </c>
      <c r="D672" s="92">
        <v>2.75</v>
      </c>
      <c r="E672" s="108">
        <f>(C672*2)+D672</f>
        <v>9.45</v>
      </c>
      <c r="F672" s="294"/>
      <c r="G672" s="275"/>
    </row>
    <row r="673" spans="1:7" ht="12.75">
      <c r="A673" s="477"/>
      <c r="B673" s="92" t="s">
        <v>293</v>
      </c>
      <c r="C673" s="92">
        <v>2.9</v>
      </c>
      <c r="D673" s="92">
        <v>1.25</v>
      </c>
      <c r="E673" s="108">
        <f>C673+(D673*2)</f>
        <v>5.4</v>
      </c>
      <c r="F673" s="294"/>
      <c r="G673" s="275"/>
    </row>
    <row r="674" spans="1:7" ht="12.75">
      <c r="A674" s="477"/>
      <c r="B674" s="92" t="s">
        <v>294</v>
      </c>
      <c r="C674" s="92">
        <v>3.9</v>
      </c>
      <c r="D674" s="92">
        <v>1.6</v>
      </c>
      <c r="E674" s="108">
        <f>(C674*2)+D674</f>
        <v>9.4</v>
      </c>
      <c r="F674" s="294"/>
      <c r="G674" s="275"/>
    </row>
    <row r="675" spans="1:7" ht="12.75">
      <c r="A675" s="477"/>
      <c r="B675" s="92" t="s">
        <v>274</v>
      </c>
      <c r="C675" s="92">
        <v>3.35</v>
      </c>
      <c r="D675" s="86">
        <v>2.75</v>
      </c>
      <c r="E675" s="108">
        <f>C675+(D675*2)</f>
        <v>8.85</v>
      </c>
      <c r="F675" s="294"/>
      <c r="G675" s="275"/>
    </row>
    <row r="676" spans="1:7" ht="12.75">
      <c r="A676" s="477"/>
      <c r="B676" s="92" t="s">
        <v>462</v>
      </c>
      <c r="C676" s="92">
        <v>24.05</v>
      </c>
      <c r="D676" s="92"/>
      <c r="E676" s="108">
        <f>C676</f>
        <v>24.05</v>
      </c>
      <c r="F676" s="294"/>
      <c r="G676" s="275"/>
    </row>
    <row r="677" spans="1:7" ht="13.5" customHeight="1" thickBot="1">
      <c r="A677" s="477"/>
      <c r="B677" s="92" t="s">
        <v>311</v>
      </c>
      <c r="C677" s="92">
        <v>5.5</v>
      </c>
      <c r="D677" s="86">
        <v>8.9</v>
      </c>
      <c r="E677" s="238">
        <f>(C677+D677)*2</f>
        <v>28.8</v>
      </c>
      <c r="F677" s="294"/>
      <c r="G677" s="275"/>
    </row>
    <row r="678" spans="1:7" ht="13.5" thickBot="1">
      <c r="A678" s="40"/>
      <c r="B678" s="70"/>
      <c r="C678" s="45"/>
      <c r="D678" s="202" t="s">
        <v>2</v>
      </c>
      <c r="E678" s="212">
        <f>SUM(E658:E677)</f>
        <v>250.55</v>
      </c>
      <c r="F678" s="52"/>
      <c r="G678" s="55"/>
    </row>
    <row r="679" spans="1:7" ht="13.5" thickBot="1">
      <c r="A679" s="80" t="s">
        <v>629</v>
      </c>
      <c r="B679" s="545" t="str">
        <f>Planilha!C75</f>
        <v>REVESTIMENTO COM CERÂMICA APLICADO EM PAREDE,
ACABAMENTO ESMALTADO, AMBIENTE INTERNO/EXTERNO,
PADRÃO EXTRA, DIMENSÃO DA PEÇA ATÉ 2025 CM2, PEI III,
ASSENTAMENTO COM ARGAMASSA INDUSTRIALIZADA, INCLUSIVE
 REJUNTAMENTO</v>
      </c>
      <c r="C679" s="546"/>
      <c r="D679" s="546"/>
      <c r="E679" s="547"/>
      <c r="F679" s="81">
        <f>F688</f>
        <v>46.19</v>
      </c>
      <c r="G679" s="80" t="s">
        <v>107</v>
      </c>
    </row>
    <row r="680" spans="1:7" ht="12.75">
      <c r="A680" s="40"/>
      <c r="B680" s="70"/>
      <c r="C680" s="45"/>
      <c r="D680" s="532"/>
      <c r="E680" s="37"/>
      <c r="F680" s="52"/>
      <c r="G680" s="55"/>
    </row>
    <row r="681" spans="1:7" ht="12.75">
      <c r="A681" s="40"/>
      <c r="B681" s="114" t="s">
        <v>20</v>
      </c>
      <c r="C681" s="114" t="s">
        <v>21</v>
      </c>
      <c r="D681" s="114" t="s">
        <v>22</v>
      </c>
      <c r="E681" s="235" t="s">
        <v>24</v>
      </c>
      <c r="F681" s="114" t="s">
        <v>23</v>
      </c>
      <c r="G681" s="55"/>
    </row>
    <row r="682" spans="1:7" ht="12.75">
      <c r="A682" s="40"/>
      <c r="B682" s="106" t="s">
        <v>283</v>
      </c>
      <c r="C682" s="108">
        <v>1.38</v>
      </c>
      <c r="D682" s="108">
        <v>1.8</v>
      </c>
      <c r="E682" s="273">
        <v>2</v>
      </c>
      <c r="F682" s="108">
        <f aca="true" t="shared" si="19" ref="F682:F687">(C682*D682)*E682</f>
        <v>4.97</v>
      </c>
      <c r="G682" s="55"/>
    </row>
    <row r="683" spans="1:7" ht="12.75">
      <c r="A683" s="40"/>
      <c r="B683" s="106" t="s">
        <v>284</v>
      </c>
      <c r="C683" s="108">
        <v>2</v>
      </c>
      <c r="D683" s="108">
        <v>1.8</v>
      </c>
      <c r="E683" s="273">
        <v>2</v>
      </c>
      <c r="F683" s="108">
        <f t="shared" si="19"/>
        <v>7.2</v>
      </c>
      <c r="G683" s="55"/>
    </row>
    <row r="684" spans="1:7" ht="12.75">
      <c r="A684" s="40"/>
      <c r="B684" s="92" t="s">
        <v>285</v>
      </c>
      <c r="C684" s="92">
        <v>2.15</v>
      </c>
      <c r="D684" s="108">
        <v>1.8</v>
      </c>
      <c r="E684" s="274">
        <v>2</v>
      </c>
      <c r="F684" s="112">
        <f t="shared" si="19"/>
        <v>7.74</v>
      </c>
      <c r="G684" s="55"/>
    </row>
    <row r="685" spans="1:7" ht="12.75">
      <c r="A685" s="40"/>
      <c r="B685" s="92" t="s">
        <v>286</v>
      </c>
      <c r="C685" s="537">
        <v>1.6</v>
      </c>
      <c r="D685" s="108">
        <v>1.8</v>
      </c>
      <c r="E685" s="535">
        <v>2</v>
      </c>
      <c r="F685" s="112">
        <f t="shared" si="19"/>
        <v>5.76</v>
      </c>
      <c r="G685" s="55"/>
    </row>
    <row r="686" spans="1:7" ht="12.75">
      <c r="A686" s="40"/>
      <c r="B686" s="92" t="s">
        <v>632</v>
      </c>
      <c r="C686" s="537">
        <v>3.25</v>
      </c>
      <c r="D686" s="111">
        <v>1.8</v>
      </c>
      <c r="E686" s="536">
        <v>2</v>
      </c>
      <c r="F686" s="534">
        <f t="shared" si="19"/>
        <v>11.7</v>
      </c>
      <c r="G686" s="55"/>
    </row>
    <row r="687" spans="1:7" ht="13.5" thickBot="1">
      <c r="A687" s="40"/>
      <c r="B687" s="538" t="s">
        <v>632</v>
      </c>
      <c r="C687" s="539">
        <v>2.45</v>
      </c>
      <c r="D687" s="379">
        <v>1.8</v>
      </c>
      <c r="E687" s="536">
        <v>2</v>
      </c>
      <c r="F687" s="533">
        <f t="shared" si="19"/>
        <v>8.82</v>
      </c>
      <c r="G687" s="55"/>
    </row>
    <row r="688" spans="1:7" ht="13.5" thickBot="1">
      <c r="A688" s="40"/>
      <c r="B688" s="45"/>
      <c r="C688" s="45"/>
      <c r="D688" s="52"/>
      <c r="E688" s="385" t="s">
        <v>69</v>
      </c>
      <c r="F688" s="212">
        <f>SUM(F682:F687)</f>
        <v>46.19</v>
      </c>
      <c r="G688" s="35"/>
    </row>
    <row r="689" spans="1:7" ht="13.5" thickBot="1">
      <c r="A689" s="40"/>
      <c r="B689" s="45"/>
      <c r="C689" s="45"/>
      <c r="D689" s="52"/>
      <c r="E689" s="229"/>
      <c r="F689" s="395"/>
      <c r="G689" s="35"/>
    </row>
    <row r="690" spans="1:7" ht="13.5" thickBot="1">
      <c r="A690" s="79" t="s">
        <v>301</v>
      </c>
      <c r="B690" s="562" t="s">
        <v>5</v>
      </c>
      <c r="C690" s="563"/>
      <c r="D690" s="563"/>
      <c r="E690" s="563"/>
      <c r="F690" s="563"/>
      <c r="G690" s="575"/>
    </row>
    <row r="691" spans="1:7" ht="13.5" thickBot="1">
      <c r="A691" s="477"/>
      <c r="B691" s="45"/>
      <c r="C691" s="38"/>
      <c r="D691" s="43"/>
      <c r="E691" s="38"/>
      <c r="F691" s="57"/>
      <c r="G691" s="55"/>
    </row>
    <row r="692" spans="1:7" ht="13.5" thickBot="1">
      <c r="A692" s="80" t="s">
        <v>78</v>
      </c>
      <c r="B692" s="545" t="str">
        <f>Planilha!C77</f>
        <v>LIXAMENTO MANUAL EM PAREDE PARA REMOÇÃO DE TINTA</v>
      </c>
      <c r="C692" s="546"/>
      <c r="D692" s="546"/>
      <c r="E692" s="547"/>
      <c r="F692" s="81">
        <f>G721</f>
        <v>858.54</v>
      </c>
      <c r="G692" s="80" t="s">
        <v>107</v>
      </c>
    </row>
    <row r="693" spans="1:7" ht="12.75">
      <c r="A693" s="477"/>
      <c r="B693" s="45"/>
      <c r="C693" s="38"/>
      <c r="D693" s="43"/>
      <c r="E693" s="38"/>
      <c r="F693" s="57"/>
      <c r="G693" s="55"/>
    </row>
    <row r="694" spans="1:7" ht="12.75">
      <c r="A694" s="477"/>
      <c r="B694" s="114" t="s">
        <v>20</v>
      </c>
      <c r="C694" s="114" t="s">
        <v>21</v>
      </c>
      <c r="D694" s="114" t="s">
        <v>26</v>
      </c>
      <c r="E694" s="114" t="s">
        <v>249</v>
      </c>
      <c r="F694" s="411" t="s">
        <v>560</v>
      </c>
      <c r="G694" s="245" t="s">
        <v>23</v>
      </c>
    </row>
    <row r="695" spans="1:7" ht="12.75">
      <c r="A695" s="477"/>
      <c r="B695" s="106" t="s">
        <v>382</v>
      </c>
      <c r="C695" s="108">
        <v>2.45</v>
      </c>
      <c r="D695" s="108">
        <v>3.25</v>
      </c>
      <c r="E695" s="108">
        <v>1.2</v>
      </c>
      <c r="F695" s="267">
        <f>(C695+D695)*2</f>
        <v>11.4</v>
      </c>
      <c r="G695" s="110">
        <f>F695*E695</f>
        <v>13.68</v>
      </c>
    </row>
    <row r="696" spans="1:7" ht="12.75">
      <c r="A696" s="477"/>
      <c r="B696" s="106" t="s">
        <v>545</v>
      </c>
      <c r="C696" s="108">
        <v>1.75</v>
      </c>
      <c r="D696" s="108">
        <v>3.25</v>
      </c>
      <c r="E696" s="108">
        <v>3</v>
      </c>
      <c r="F696" s="267">
        <f>(C696+D696)*2</f>
        <v>10</v>
      </c>
      <c r="G696" s="110">
        <f>F696*E696</f>
        <v>30</v>
      </c>
    </row>
    <row r="697" spans="1:7" ht="12.75">
      <c r="A697" s="477"/>
      <c r="B697" s="92" t="s">
        <v>537</v>
      </c>
      <c r="C697" s="108">
        <v>1.8</v>
      </c>
      <c r="D697" s="108">
        <v>3.25</v>
      </c>
      <c r="E697" s="108">
        <v>3</v>
      </c>
      <c r="F697" s="267">
        <f>(C697+D697)*2</f>
        <v>10.1</v>
      </c>
      <c r="G697" s="110">
        <f>F697*E697</f>
        <v>30.3</v>
      </c>
    </row>
    <row r="698" spans="1:7" ht="12.75">
      <c r="A698" s="477"/>
      <c r="B698" s="106" t="s">
        <v>546</v>
      </c>
      <c r="C698" s="108">
        <v>3.05</v>
      </c>
      <c r="D698" s="108">
        <v>3</v>
      </c>
      <c r="E698" s="108">
        <v>3</v>
      </c>
      <c r="F698" s="267">
        <f>(C698+D698)*2</f>
        <v>12.1</v>
      </c>
      <c r="G698" s="110">
        <f>F698*E698</f>
        <v>36.3</v>
      </c>
    </row>
    <row r="699" spans="1:7" ht="12.75">
      <c r="A699" s="477"/>
      <c r="B699" s="106" t="s">
        <v>547</v>
      </c>
      <c r="C699" s="108">
        <v>1.38</v>
      </c>
      <c r="D699" s="108"/>
      <c r="E699" s="108">
        <v>1.2</v>
      </c>
      <c r="F699" s="267"/>
      <c r="G699" s="110">
        <f>C699*E699</f>
        <v>1.66</v>
      </c>
    </row>
    <row r="700" spans="1:7" ht="12.75">
      <c r="A700" s="477"/>
      <c r="B700" s="106" t="s">
        <v>292</v>
      </c>
      <c r="C700" s="108">
        <v>1.38</v>
      </c>
      <c r="D700" s="108"/>
      <c r="E700" s="108">
        <v>1.2</v>
      </c>
      <c r="F700" s="267"/>
      <c r="G700" s="110">
        <f>C700*E700</f>
        <v>1.66</v>
      </c>
    </row>
    <row r="701" spans="1:7" ht="12.75">
      <c r="A701" s="477"/>
      <c r="B701" s="92" t="s">
        <v>224</v>
      </c>
      <c r="C701" s="92">
        <v>2.6</v>
      </c>
      <c r="D701" s="108">
        <v>4.4</v>
      </c>
      <c r="E701" s="108">
        <v>3</v>
      </c>
      <c r="F701" s="267">
        <f>C701+(D701*2)</f>
        <v>11.4</v>
      </c>
      <c r="G701" s="110">
        <f aca="true" t="shared" si="20" ref="G701:G707">F701*E701</f>
        <v>34.2</v>
      </c>
    </row>
    <row r="702" spans="1:7" ht="12.75">
      <c r="A702" s="477"/>
      <c r="B702" s="92" t="s">
        <v>530</v>
      </c>
      <c r="C702" s="92">
        <v>3.3</v>
      </c>
      <c r="D702" s="108">
        <v>1.35</v>
      </c>
      <c r="E702" s="108">
        <v>1.2</v>
      </c>
      <c r="F702" s="267">
        <f>(C702+D702)*2</f>
        <v>9.3</v>
      </c>
      <c r="G702" s="110">
        <f t="shared" si="20"/>
        <v>11.16</v>
      </c>
    </row>
    <row r="703" spans="1:7" ht="14.25" customHeight="1">
      <c r="A703" s="477"/>
      <c r="B703" s="92" t="s">
        <v>234</v>
      </c>
      <c r="C703" s="92">
        <v>3.1</v>
      </c>
      <c r="D703" s="108">
        <v>3.3</v>
      </c>
      <c r="E703" s="108">
        <v>3</v>
      </c>
      <c r="F703" s="267">
        <f>(C703+D703)*2</f>
        <v>12.8</v>
      </c>
      <c r="G703" s="110">
        <f t="shared" si="20"/>
        <v>38.4</v>
      </c>
    </row>
    <row r="704" spans="1:7" ht="12.75">
      <c r="A704" s="477"/>
      <c r="B704" s="92" t="s">
        <v>548</v>
      </c>
      <c r="C704" s="92">
        <v>3.3</v>
      </c>
      <c r="D704" s="108">
        <v>2.6</v>
      </c>
      <c r="E704" s="108">
        <v>3</v>
      </c>
      <c r="F704" s="267">
        <f>C704+(D704)*2</f>
        <v>8.5</v>
      </c>
      <c r="G704" s="110">
        <f t="shared" si="20"/>
        <v>25.5</v>
      </c>
    </row>
    <row r="705" spans="1:8" ht="12.75">
      <c r="A705" s="477"/>
      <c r="B705" s="252" t="s">
        <v>225</v>
      </c>
      <c r="C705" s="92">
        <v>4.5</v>
      </c>
      <c r="D705" s="108">
        <v>2.6</v>
      </c>
      <c r="E705" s="108">
        <v>3</v>
      </c>
      <c r="F705" s="267">
        <f aca="true" t="shared" si="21" ref="F705:F710">(C705+D705)*2</f>
        <v>14.2</v>
      </c>
      <c r="G705" s="110">
        <f t="shared" si="20"/>
        <v>42.6</v>
      </c>
      <c r="H705" s="52"/>
    </row>
    <row r="706" spans="1:8" ht="12.75">
      <c r="A706" s="477"/>
      <c r="B706" s="252" t="s">
        <v>536</v>
      </c>
      <c r="C706" s="92">
        <v>1.3</v>
      </c>
      <c r="D706" s="108">
        <v>2.6</v>
      </c>
      <c r="E706" s="108">
        <v>1.2</v>
      </c>
      <c r="F706" s="267">
        <f t="shared" si="21"/>
        <v>7.8</v>
      </c>
      <c r="G706" s="110">
        <f t="shared" si="20"/>
        <v>9.36</v>
      </c>
      <c r="H706" s="52"/>
    </row>
    <row r="707" spans="1:8" ht="12.75">
      <c r="A707" s="477"/>
      <c r="B707" s="92" t="s">
        <v>549</v>
      </c>
      <c r="C707" s="92">
        <v>3.05</v>
      </c>
      <c r="D707" s="108">
        <v>1.6</v>
      </c>
      <c r="E707" s="108">
        <v>3</v>
      </c>
      <c r="F707" s="267">
        <f t="shared" si="21"/>
        <v>9.3</v>
      </c>
      <c r="G707" s="110">
        <f t="shared" si="20"/>
        <v>27.9</v>
      </c>
      <c r="H707" s="52"/>
    </row>
    <row r="708" spans="1:8" ht="12.75">
      <c r="A708" s="477"/>
      <c r="B708" s="92" t="s">
        <v>550</v>
      </c>
      <c r="C708" s="92">
        <v>3.05</v>
      </c>
      <c r="D708" s="108">
        <v>2.4</v>
      </c>
      <c r="E708" s="108">
        <v>3</v>
      </c>
      <c r="F708" s="267">
        <f t="shared" si="21"/>
        <v>10.9</v>
      </c>
      <c r="G708" s="110">
        <f>(F708*E708)-4.56</f>
        <v>28.14</v>
      </c>
      <c r="H708" s="268"/>
    </row>
    <row r="709" spans="1:8" ht="12.75">
      <c r="A709" s="477"/>
      <c r="B709" s="92" t="s">
        <v>223</v>
      </c>
      <c r="C709" s="92">
        <v>3.6</v>
      </c>
      <c r="D709" s="108">
        <v>4.15</v>
      </c>
      <c r="E709" s="108">
        <v>3</v>
      </c>
      <c r="F709" s="267">
        <f t="shared" si="21"/>
        <v>15.5</v>
      </c>
      <c r="G709" s="110">
        <f aca="true" t="shared" si="22" ref="G709:G720">F709*E709</f>
        <v>46.5</v>
      </c>
      <c r="H709" s="268"/>
    </row>
    <row r="710" spans="1:8" ht="12.75">
      <c r="A710" s="477"/>
      <c r="B710" s="92" t="s">
        <v>300</v>
      </c>
      <c r="C710" s="92">
        <v>1.2</v>
      </c>
      <c r="D710" s="108">
        <v>1.2</v>
      </c>
      <c r="E710" s="108">
        <v>3</v>
      </c>
      <c r="F710" s="267">
        <f t="shared" si="21"/>
        <v>4.8</v>
      </c>
      <c r="G710" s="110">
        <f t="shared" si="22"/>
        <v>14.4</v>
      </c>
      <c r="H710" s="268"/>
    </row>
    <row r="711" spans="1:8" ht="12.75">
      <c r="A711" s="477"/>
      <c r="B711" s="92" t="s">
        <v>551</v>
      </c>
      <c r="C711" s="92">
        <v>2.05</v>
      </c>
      <c r="D711" s="108">
        <v>1.7</v>
      </c>
      <c r="E711" s="108">
        <v>3</v>
      </c>
      <c r="F711" s="267">
        <f>C711+(D711*2)</f>
        <v>5.45</v>
      </c>
      <c r="G711" s="110">
        <f t="shared" si="22"/>
        <v>16.35</v>
      </c>
      <c r="H711" s="268"/>
    </row>
    <row r="712" spans="1:8" ht="12.75">
      <c r="A712" s="477"/>
      <c r="B712" s="92" t="s">
        <v>381</v>
      </c>
      <c r="C712" s="92">
        <v>2.05</v>
      </c>
      <c r="D712" s="108">
        <v>2.3</v>
      </c>
      <c r="E712" s="108">
        <v>3</v>
      </c>
      <c r="F712" s="267">
        <f>C712+(D712*2)</f>
        <v>6.65</v>
      </c>
      <c r="G712" s="110">
        <f t="shared" si="22"/>
        <v>19.95</v>
      </c>
      <c r="H712" s="268"/>
    </row>
    <row r="713" spans="1:8" ht="12.75">
      <c r="A713" s="477"/>
      <c r="B713" s="92" t="s">
        <v>552</v>
      </c>
      <c r="C713" s="92">
        <v>9.15</v>
      </c>
      <c r="D713" s="108">
        <v>1.2</v>
      </c>
      <c r="E713" s="108">
        <v>3</v>
      </c>
      <c r="F713" s="267">
        <f>C713*2+(D713)</f>
        <v>19.5</v>
      </c>
      <c r="G713" s="110">
        <f t="shared" si="22"/>
        <v>58.5</v>
      </c>
      <c r="H713" s="268"/>
    </row>
    <row r="714" spans="1:8" ht="12.75">
      <c r="A714" s="477"/>
      <c r="B714" s="92" t="s">
        <v>553</v>
      </c>
      <c r="C714" s="92">
        <v>3.35</v>
      </c>
      <c r="D714" s="108">
        <v>2.75</v>
      </c>
      <c r="E714" s="108">
        <v>3</v>
      </c>
      <c r="F714" s="253">
        <f>C714+D714</f>
        <v>6.1</v>
      </c>
      <c r="G714" s="110">
        <f t="shared" si="22"/>
        <v>18.3</v>
      </c>
      <c r="H714" s="268"/>
    </row>
    <row r="715" spans="1:8" ht="12.75">
      <c r="A715" s="477"/>
      <c r="B715" s="92" t="s">
        <v>554</v>
      </c>
      <c r="C715" s="92">
        <v>1.25</v>
      </c>
      <c r="D715" s="108"/>
      <c r="E715" s="108">
        <v>3</v>
      </c>
      <c r="F715" s="213">
        <f>C715*2</f>
        <v>2.5</v>
      </c>
      <c r="G715" s="110">
        <f t="shared" si="22"/>
        <v>7.5</v>
      </c>
      <c r="H715" s="268"/>
    </row>
    <row r="716" spans="1:8" ht="12.75">
      <c r="A716" s="477"/>
      <c r="B716" s="92" t="s">
        <v>555</v>
      </c>
      <c r="C716" s="92">
        <v>2.9</v>
      </c>
      <c r="D716" s="108"/>
      <c r="E716" s="108">
        <v>3</v>
      </c>
      <c r="F716" s="213">
        <f>C716</f>
        <v>2.9</v>
      </c>
      <c r="G716" s="110">
        <f t="shared" si="22"/>
        <v>8.7</v>
      </c>
      <c r="H716" s="268"/>
    </row>
    <row r="717" spans="1:8" ht="12.75">
      <c r="A717" s="477"/>
      <c r="B717" s="92" t="s">
        <v>383</v>
      </c>
      <c r="C717" s="92">
        <v>3.35</v>
      </c>
      <c r="D717" s="108">
        <v>2.75</v>
      </c>
      <c r="E717" s="108">
        <v>3</v>
      </c>
      <c r="F717" s="213">
        <f>C717+(D717*2)+1.55</f>
        <v>10.4</v>
      </c>
      <c r="G717" s="110">
        <f t="shared" si="22"/>
        <v>31.2</v>
      </c>
      <c r="H717" s="268"/>
    </row>
    <row r="718" spans="1:8" ht="12.75">
      <c r="A718" s="477"/>
      <c r="B718" s="92" t="s">
        <v>556</v>
      </c>
      <c r="C718" s="92">
        <v>22.35</v>
      </c>
      <c r="D718" s="108">
        <v>9.2</v>
      </c>
      <c r="E718" s="108">
        <v>3.72</v>
      </c>
      <c r="F718" s="213">
        <f>(C718+D718)*2</f>
        <v>63.1</v>
      </c>
      <c r="G718" s="110">
        <f t="shared" si="22"/>
        <v>234.73</v>
      </c>
      <c r="H718" s="268"/>
    </row>
    <row r="719" spans="1:8" ht="12.75">
      <c r="A719" s="477"/>
      <c r="B719" s="86" t="s">
        <v>298</v>
      </c>
      <c r="C719" s="211">
        <v>9.2</v>
      </c>
      <c r="D719" s="211"/>
      <c r="E719" s="108">
        <v>1.38</v>
      </c>
      <c r="F719" s="214">
        <f>C719</f>
        <v>9.2</v>
      </c>
      <c r="G719" s="110">
        <f t="shared" si="22"/>
        <v>12.7</v>
      </c>
      <c r="H719" s="268"/>
    </row>
    <row r="720" spans="1:8" ht="13.5" thickBot="1">
      <c r="A720" s="477"/>
      <c r="B720" s="92" t="s">
        <v>307</v>
      </c>
      <c r="C720" s="112">
        <v>26.75</v>
      </c>
      <c r="D720" s="112"/>
      <c r="E720" s="108">
        <v>1.1</v>
      </c>
      <c r="F720" s="214">
        <f>C720*2</f>
        <v>53.5</v>
      </c>
      <c r="G720" s="110">
        <f t="shared" si="22"/>
        <v>58.85</v>
      </c>
      <c r="H720" s="268"/>
    </row>
    <row r="721" spans="1:8" ht="13.5" thickBot="1">
      <c r="A721" s="477"/>
      <c r="B721" s="45"/>
      <c r="C721" s="38"/>
      <c r="D721" s="43"/>
      <c r="E721" s="38"/>
      <c r="F721" s="417" t="s">
        <v>2</v>
      </c>
      <c r="G721" s="212">
        <f>SUM(G695:G720)</f>
        <v>858.54</v>
      </c>
      <c r="H721" s="268"/>
    </row>
    <row r="722" spans="1:8" ht="13.5" thickBot="1">
      <c r="A722" s="477"/>
      <c r="B722" s="45"/>
      <c r="C722" s="38"/>
      <c r="D722" s="43"/>
      <c r="E722" s="38"/>
      <c r="F722" s="481"/>
      <c r="G722" s="250"/>
      <c r="H722" s="268"/>
    </row>
    <row r="723" spans="1:8" ht="13.5" thickBot="1">
      <c r="A723" s="80" t="s">
        <v>79</v>
      </c>
      <c r="B723" s="545" t="str">
        <f>Planilha!C78</f>
        <v>EMASSAMENTO EM PAREDE COM MASSA CORRIDA (PVA), UMA (1) DEMÃO, INCLUSIVE LIXAMENTO PARA PINTURA. 
</v>
      </c>
      <c r="C723" s="546"/>
      <c r="D723" s="546"/>
      <c r="E723" s="547"/>
      <c r="F723" s="81">
        <f>G750</f>
        <v>674.1</v>
      </c>
      <c r="G723" s="80" t="s">
        <v>107</v>
      </c>
      <c r="H723" s="268"/>
    </row>
    <row r="724" spans="1:8" ht="12.75">
      <c r="A724" s="477"/>
      <c r="B724" s="45"/>
      <c r="C724" s="38"/>
      <c r="D724" s="43"/>
      <c r="E724" s="38"/>
      <c r="F724" s="481"/>
      <c r="G724" s="250"/>
      <c r="H724" s="268"/>
    </row>
    <row r="725" spans="1:11" ht="12.75">
      <c r="A725" s="477"/>
      <c r="B725" s="114" t="s">
        <v>20</v>
      </c>
      <c r="C725" s="114" t="s">
        <v>21</v>
      </c>
      <c r="D725" s="114" t="s">
        <v>26</v>
      </c>
      <c r="E725" s="114" t="s">
        <v>249</v>
      </c>
      <c r="F725" s="411" t="s">
        <v>296</v>
      </c>
      <c r="G725" s="245" t="s">
        <v>23</v>
      </c>
      <c r="H725" s="268"/>
      <c r="K725" t="e">
        <f>#REF!*8</f>
        <v>#REF!</v>
      </c>
    </row>
    <row r="726" spans="1:8" ht="12.75">
      <c r="A726" s="477"/>
      <c r="B726" s="106" t="s">
        <v>382</v>
      </c>
      <c r="C726" s="108">
        <v>2.45</v>
      </c>
      <c r="D726" s="108">
        <v>3.25</v>
      </c>
      <c r="E726" s="108">
        <v>1.2</v>
      </c>
      <c r="F726" s="267">
        <f>(C726+D726)*2</f>
        <v>11.4</v>
      </c>
      <c r="G726" s="110">
        <f>F726*E726</f>
        <v>13.68</v>
      </c>
      <c r="H726" s="268"/>
    </row>
    <row r="727" spans="1:8" ht="12.75">
      <c r="A727" s="477"/>
      <c r="B727" s="106" t="s">
        <v>545</v>
      </c>
      <c r="C727" s="108">
        <v>1.75</v>
      </c>
      <c r="D727" s="108">
        <v>3.25</v>
      </c>
      <c r="E727" s="108">
        <v>3</v>
      </c>
      <c r="F727" s="267">
        <f>(C727+D727)*2</f>
        <v>10</v>
      </c>
      <c r="G727" s="110">
        <f>F727*E727</f>
        <v>30</v>
      </c>
      <c r="H727" s="268"/>
    </row>
    <row r="728" spans="1:8" ht="12.75">
      <c r="A728" s="477"/>
      <c r="B728" s="92" t="s">
        <v>537</v>
      </c>
      <c r="C728" s="108">
        <v>1.8</v>
      </c>
      <c r="D728" s="108">
        <v>3.25</v>
      </c>
      <c r="E728" s="108">
        <v>3</v>
      </c>
      <c r="F728" s="267">
        <f>(C728+D728)*2</f>
        <v>10.1</v>
      </c>
      <c r="G728" s="110">
        <f>F728*E728</f>
        <v>30.3</v>
      </c>
      <c r="H728" s="268"/>
    </row>
    <row r="729" spans="1:8" ht="12.75">
      <c r="A729" s="477"/>
      <c r="B729" s="106" t="s">
        <v>546</v>
      </c>
      <c r="C729" s="108">
        <v>3.05</v>
      </c>
      <c r="D729" s="108">
        <v>3</v>
      </c>
      <c r="E729" s="108">
        <v>3</v>
      </c>
      <c r="F729" s="267">
        <f>(C729+D729)*2</f>
        <v>12.1</v>
      </c>
      <c r="G729" s="110">
        <f>F729*E729</f>
        <v>36.3</v>
      </c>
      <c r="H729" s="268"/>
    </row>
    <row r="730" spans="1:8" ht="12.75">
      <c r="A730" s="477"/>
      <c r="B730" s="106" t="s">
        <v>547</v>
      </c>
      <c r="C730" s="108">
        <v>1.38</v>
      </c>
      <c r="D730" s="108">
        <v>2</v>
      </c>
      <c r="E730" s="108">
        <v>1.2</v>
      </c>
      <c r="F730" s="267">
        <f>(C730+D730)*2</f>
        <v>6.76</v>
      </c>
      <c r="G730" s="110">
        <f>F730*E730</f>
        <v>8.11</v>
      </c>
      <c r="H730" s="268"/>
    </row>
    <row r="731" spans="1:8" ht="12.75">
      <c r="A731" s="477"/>
      <c r="B731" s="106" t="s">
        <v>292</v>
      </c>
      <c r="C731" s="108">
        <v>1.38</v>
      </c>
      <c r="D731" s="108">
        <v>2</v>
      </c>
      <c r="E731" s="108">
        <v>1.2</v>
      </c>
      <c r="F731" s="267">
        <f>(C731+D731)*2</f>
        <v>6.76</v>
      </c>
      <c r="G731" s="110">
        <f>F731*E731</f>
        <v>8.11</v>
      </c>
      <c r="H731" s="268"/>
    </row>
    <row r="732" spans="1:8" ht="12.75">
      <c r="A732" s="477"/>
      <c r="B732" s="92" t="s">
        <v>224</v>
      </c>
      <c r="C732" s="112">
        <v>2.6</v>
      </c>
      <c r="D732" s="108">
        <v>4.4</v>
      </c>
      <c r="E732" s="108">
        <v>3</v>
      </c>
      <c r="F732" s="267">
        <f>C732+(D732*2)</f>
        <v>11.4</v>
      </c>
      <c r="G732" s="110">
        <f aca="true" t="shared" si="23" ref="G732:G738">F732*E732</f>
        <v>34.2</v>
      </c>
      <c r="H732" s="268"/>
    </row>
    <row r="733" spans="1:10" ht="12.75">
      <c r="A733" s="477"/>
      <c r="B733" s="92" t="s">
        <v>530</v>
      </c>
      <c r="C733" s="112">
        <v>3.3</v>
      </c>
      <c r="D733" s="108">
        <v>1.35</v>
      </c>
      <c r="E733" s="108">
        <v>1.2</v>
      </c>
      <c r="F733" s="267">
        <f>(C733+D733)*2</f>
        <v>9.3</v>
      </c>
      <c r="G733" s="110">
        <f t="shared" si="23"/>
        <v>11.16</v>
      </c>
      <c r="H733" s="268"/>
      <c r="J733">
        <v>10.4</v>
      </c>
    </row>
    <row r="734" spans="1:10" ht="12.75">
      <c r="A734" s="477"/>
      <c r="B734" s="92" t="s">
        <v>234</v>
      </c>
      <c r="C734" s="112">
        <v>3.1</v>
      </c>
      <c r="D734" s="108">
        <v>3.3</v>
      </c>
      <c r="E734" s="108">
        <v>3</v>
      </c>
      <c r="F734" s="267">
        <f>(C734+D734)*2</f>
        <v>12.8</v>
      </c>
      <c r="G734" s="110">
        <f t="shared" si="23"/>
        <v>38.4</v>
      </c>
      <c r="H734" s="268"/>
      <c r="J734">
        <v>12.5</v>
      </c>
    </row>
    <row r="735" spans="1:10" ht="12.75">
      <c r="A735" s="477"/>
      <c r="B735" s="92" t="s">
        <v>548</v>
      </c>
      <c r="C735" s="112">
        <v>3.3</v>
      </c>
      <c r="D735" s="108">
        <v>2.6</v>
      </c>
      <c r="E735" s="108">
        <v>3</v>
      </c>
      <c r="F735" s="267">
        <f>C735+(D735)*2</f>
        <v>8.5</v>
      </c>
      <c r="G735" s="110">
        <f t="shared" si="23"/>
        <v>25.5</v>
      </c>
      <c r="H735" s="268"/>
      <c r="J735">
        <f>J733+J734</f>
        <v>22.9</v>
      </c>
    </row>
    <row r="736" spans="1:8" ht="12.75">
      <c r="A736" s="477"/>
      <c r="B736" s="252" t="s">
        <v>225</v>
      </c>
      <c r="C736" s="112">
        <v>4.5</v>
      </c>
      <c r="D736" s="108">
        <v>2.6</v>
      </c>
      <c r="E736" s="108">
        <v>3</v>
      </c>
      <c r="F736" s="267">
        <f aca="true" t="shared" si="24" ref="F736:F741">(C736+D736)*2</f>
        <v>14.2</v>
      </c>
      <c r="G736" s="110">
        <f t="shared" si="23"/>
        <v>42.6</v>
      </c>
      <c r="H736" s="268"/>
    </row>
    <row r="737" spans="1:8" ht="12.75">
      <c r="A737" s="477"/>
      <c r="B737" s="252" t="s">
        <v>536</v>
      </c>
      <c r="C737" s="112">
        <v>1.3</v>
      </c>
      <c r="D737" s="108">
        <v>2.6</v>
      </c>
      <c r="E737" s="108">
        <v>1.2</v>
      </c>
      <c r="F737" s="267">
        <f t="shared" si="24"/>
        <v>7.8</v>
      </c>
      <c r="G737" s="110">
        <f t="shared" si="23"/>
        <v>9.36</v>
      </c>
      <c r="H737" s="268"/>
    </row>
    <row r="738" spans="1:8" ht="12.75">
      <c r="A738" s="477"/>
      <c r="B738" s="92" t="s">
        <v>549</v>
      </c>
      <c r="C738" s="112">
        <v>3.05</v>
      </c>
      <c r="D738" s="108">
        <v>1.6</v>
      </c>
      <c r="E738" s="108">
        <v>3</v>
      </c>
      <c r="F738" s="267">
        <f t="shared" si="24"/>
        <v>9.3</v>
      </c>
      <c r="G738" s="110">
        <f t="shared" si="23"/>
        <v>27.9</v>
      </c>
      <c r="H738" s="268"/>
    </row>
    <row r="739" spans="1:8" ht="12.75">
      <c r="A739" s="477"/>
      <c r="B739" s="92" t="s">
        <v>550</v>
      </c>
      <c r="C739" s="112">
        <v>3.05</v>
      </c>
      <c r="D739" s="108">
        <v>2.4</v>
      </c>
      <c r="E739" s="108">
        <v>3</v>
      </c>
      <c r="F739" s="267">
        <f t="shared" si="24"/>
        <v>10.9</v>
      </c>
      <c r="G739" s="110">
        <f>(F739*E739)-4.56</f>
        <v>28.14</v>
      </c>
      <c r="H739" s="268"/>
    </row>
    <row r="740" spans="1:8" ht="12.75">
      <c r="A740" s="477"/>
      <c r="B740" s="92" t="s">
        <v>223</v>
      </c>
      <c r="C740" s="112">
        <v>3.6</v>
      </c>
      <c r="D740" s="108">
        <v>4.15</v>
      </c>
      <c r="E740" s="108">
        <v>3</v>
      </c>
      <c r="F740" s="267">
        <f t="shared" si="24"/>
        <v>15.5</v>
      </c>
      <c r="G740" s="110">
        <f aca="true" t="shared" si="25" ref="G740:G749">F740*E740</f>
        <v>46.5</v>
      </c>
      <c r="H740" s="268"/>
    </row>
    <row r="741" spans="1:8" ht="12.75">
      <c r="A741" s="477"/>
      <c r="B741" s="92" t="s">
        <v>300</v>
      </c>
      <c r="C741" s="112">
        <v>1.2</v>
      </c>
      <c r="D741" s="108">
        <v>1.2</v>
      </c>
      <c r="E741" s="108">
        <v>3</v>
      </c>
      <c r="F741" s="267">
        <f t="shared" si="24"/>
        <v>4.8</v>
      </c>
      <c r="G741" s="110">
        <f t="shared" si="25"/>
        <v>14.4</v>
      </c>
      <c r="H741" s="268"/>
    </row>
    <row r="742" spans="1:8" ht="12.75">
      <c r="A742" s="477"/>
      <c r="B742" s="92" t="s">
        <v>551</v>
      </c>
      <c r="C742" s="112">
        <v>2.05</v>
      </c>
      <c r="D742" s="108">
        <v>1.7</v>
      </c>
      <c r="E742" s="108">
        <v>3</v>
      </c>
      <c r="F742" s="267">
        <f>C742+(D742*2)</f>
        <v>5.45</v>
      </c>
      <c r="G742" s="110">
        <f t="shared" si="25"/>
        <v>16.35</v>
      </c>
      <c r="H742" s="268"/>
    </row>
    <row r="743" spans="1:8" ht="12.75">
      <c r="A743" s="477"/>
      <c r="B743" s="92" t="s">
        <v>381</v>
      </c>
      <c r="C743" s="112">
        <v>2.05</v>
      </c>
      <c r="D743" s="108">
        <v>2.3</v>
      </c>
      <c r="E743" s="108">
        <v>3</v>
      </c>
      <c r="F743" s="267">
        <f>C743+(D743*2)</f>
        <v>6.65</v>
      </c>
      <c r="G743" s="110">
        <f t="shared" si="25"/>
        <v>19.95</v>
      </c>
      <c r="H743" s="268"/>
    </row>
    <row r="744" spans="1:8" ht="12.75">
      <c r="A744" s="477"/>
      <c r="B744" s="92" t="s">
        <v>552</v>
      </c>
      <c r="C744" s="112">
        <v>9.15</v>
      </c>
      <c r="D744" s="108">
        <v>1.2</v>
      </c>
      <c r="E744" s="108">
        <v>3</v>
      </c>
      <c r="F744" s="267">
        <f>C744*2+(D744)</f>
        <v>19.5</v>
      </c>
      <c r="G744" s="110">
        <f t="shared" si="25"/>
        <v>58.5</v>
      </c>
      <c r="H744" s="268"/>
    </row>
    <row r="745" spans="1:8" ht="12.75">
      <c r="A745" s="477"/>
      <c r="B745" s="92" t="s">
        <v>553</v>
      </c>
      <c r="C745" s="112">
        <v>3.35</v>
      </c>
      <c r="D745" s="108">
        <v>2.75</v>
      </c>
      <c r="E745" s="108">
        <v>3</v>
      </c>
      <c r="F745" s="253">
        <f>C745+D745</f>
        <v>6.1</v>
      </c>
      <c r="G745" s="110">
        <f t="shared" si="25"/>
        <v>18.3</v>
      </c>
      <c r="H745" s="268"/>
    </row>
    <row r="746" spans="1:8" ht="12.75">
      <c r="A746" s="477"/>
      <c r="B746" s="92" t="s">
        <v>554</v>
      </c>
      <c r="C746" s="112">
        <v>1.25</v>
      </c>
      <c r="D746" s="108">
        <v>2.9</v>
      </c>
      <c r="E746" s="108">
        <v>3</v>
      </c>
      <c r="F746" s="213">
        <f>(C746*2)+E746</f>
        <v>5.5</v>
      </c>
      <c r="G746" s="110">
        <f t="shared" si="25"/>
        <v>16.5</v>
      </c>
      <c r="H746" s="268"/>
    </row>
    <row r="747" spans="1:8" ht="12.75">
      <c r="A747" s="477"/>
      <c r="B747" s="92" t="s">
        <v>555</v>
      </c>
      <c r="C747" s="112">
        <v>2.9</v>
      </c>
      <c r="D747" s="108">
        <v>1.6</v>
      </c>
      <c r="E747" s="108">
        <v>3</v>
      </c>
      <c r="F747" s="213">
        <f>(C747*2)+D747</f>
        <v>7.4</v>
      </c>
      <c r="G747" s="110">
        <f t="shared" si="25"/>
        <v>22.2</v>
      </c>
      <c r="H747" s="268"/>
    </row>
    <row r="748" spans="1:8" ht="12.75">
      <c r="A748" s="477"/>
      <c r="B748" s="92" t="s">
        <v>383</v>
      </c>
      <c r="C748" s="112">
        <v>3.35</v>
      </c>
      <c r="D748" s="108">
        <v>2.75</v>
      </c>
      <c r="E748" s="108">
        <v>3</v>
      </c>
      <c r="F748" s="213">
        <f>C748+(D748*2)+1.55</f>
        <v>10.4</v>
      </c>
      <c r="G748" s="110">
        <f t="shared" si="25"/>
        <v>31.2</v>
      </c>
      <c r="H748" s="268"/>
    </row>
    <row r="749" spans="1:8" ht="13.5" thickBot="1">
      <c r="A749" s="477"/>
      <c r="B749" s="92" t="s">
        <v>557</v>
      </c>
      <c r="C749" s="112">
        <v>5.5</v>
      </c>
      <c r="D749" s="254">
        <v>8.9</v>
      </c>
      <c r="E749" s="108">
        <v>3</v>
      </c>
      <c r="F749" s="92">
        <f>(C749+D749)*2</f>
        <v>28.8</v>
      </c>
      <c r="G749" s="110">
        <f t="shared" si="25"/>
        <v>86.4</v>
      </c>
      <c r="H749" s="268"/>
    </row>
    <row r="750" spans="1:8" ht="13.5" thickBot="1">
      <c r="A750" s="477"/>
      <c r="B750" s="45"/>
      <c r="C750" s="45"/>
      <c r="D750" s="359"/>
      <c r="E750" s="360"/>
      <c r="F750" s="78" t="s">
        <v>2</v>
      </c>
      <c r="G750" s="362">
        <f>SUM(G726:G749)</f>
        <v>674.1</v>
      </c>
      <c r="H750" s="268"/>
    </row>
    <row r="751" spans="1:8" ht="13.5" thickBot="1">
      <c r="A751" s="477"/>
      <c r="B751" s="45"/>
      <c r="C751" s="45"/>
      <c r="D751" s="359"/>
      <c r="E751" s="360"/>
      <c r="F751" s="45"/>
      <c r="G751" s="361"/>
      <c r="H751" s="268"/>
    </row>
    <row r="752" spans="1:8" ht="13.5" thickBot="1">
      <c r="A752" s="234" t="s">
        <v>80</v>
      </c>
      <c r="B752" s="545" t="str">
        <f>Planilha!C79</f>
        <v>APLICAÇÃO DE FUNDO SELADOR ACRÍLICO EM PAREDES, UMA DEMÃO. AF_06/2014 - PAREDES NOVAS</v>
      </c>
      <c r="C752" s="546"/>
      <c r="D752" s="546"/>
      <c r="E752" s="547"/>
      <c r="F752" s="428">
        <f>G769</f>
        <v>259.73</v>
      </c>
      <c r="G752" s="234" t="s">
        <v>107</v>
      </c>
      <c r="H752" s="268"/>
    </row>
    <row r="753" spans="1:8" ht="12.75">
      <c r="A753" s="418"/>
      <c r="B753" s="419"/>
      <c r="C753" s="419"/>
      <c r="D753" s="419"/>
      <c r="E753" s="419"/>
      <c r="F753" s="419"/>
      <c r="G753" s="420"/>
      <c r="H753" s="268"/>
    </row>
    <row r="754" spans="1:8" ht="12.75">
      <c r="A754" s="418"/>
      <c r="B754" s="421" t="s">
        <v>20</v>
      </c>
      <c r="C754" s="421" t="s">
        <v>21</v>
      </c>
      <c r="D754" s="421" t="s">
        <v>497</v>
      </c>
      <c r="E754" s="421" t="s">
        <v>22</v>
      </c>
      <c r="F754" s="422" t="s">
        <v>296</v>
      </c>
      <c r="G754" s="423" t="s">
        <v>23</v>
      </c>
      <c r="H754" s="268"/>
    </row>
    <row r="755" spans="1:8" ht="12.75">
      <c r="A755" s="424"/>
      <c r="B755" s="425" t="s">
        <v>291</v>
      </c>
      <c r="C755" s="391">
        <v>2</v>
      </c>
      <c r="D755" s="391">
        <v>1.38</v>
      </c>
      <c r="E755" s="450">
        <v>1.2</v>
      </c>
      <c r="F755" s="391">
        <f>(C755+D755)*2</f>
        <v>6.76</v>
      </c>
      <c r="G755" s="427">
        <f>F755*E755</f>
        <v>8.11</v>
      </c>
      <c r="H755" s="268"/>
    </row>
    <row r="756" spans="1:8" ht="12.75">
      <c r="A756" s="424"/>
      <c r="B756" s="425" t="s">
        <v>292</v>
      </c>
      <c r="C756" s="391">
        <v>2</v>
      </c>
      <c r="D756" s="391">
        <v>1.38</v>
      </c>
      <c r="E756" s="450">
        <v>1.2</v>
      </c>
      <c r="F756" s="391">
        <f>(C756+D756)*2</f>
        <v>6.76</v>
      </c>
      <c r="G756" s="427">
        <f>F756*E756</f>
        <v>8.11</v>
      </c>
      <c r="H756" s="268"/>
    </row>
    <row r="757" spans="1:8" ht="12.75">
      <c r="A757" s="424"/>
      <c r="B757" s="426" t="s">
        <v>561</v>
      </c>
      <c r="C757" s="387">
        <v>2.6</v>
      </c>
      <c r="D757" s="391"/>
      <c r="E757" s="391">
        <v>3</v>
      </c>
      <c r="F757" s="391">
        <f>C757</f>
        <v>2.6</v>
      </c>
      <c r="G757" s="427">
        <f>F757*E757</f>
        <v>7.8</v>
      </c>
      <c r="H757" s="268"/>
    </row>
    <row r="758" spans="1:8" ht="12.75">
      <c r="A758" s="424"/>
      <c r="B758" s="426" t="s">
        <v>234</v>
      </c>
      <c r="C758" s="387">
        <v>3.1</v>
      </c>
      <c r="D758" s="391"/>
      <c r="E758" s="391">
        <v>3</v>
      </c>
      <c r="F758" s="387">
        <f>C758</f>
        <v>3.1</v>
      </c>
      <c r="G758" s="427">
        <f aca="true" t="shared" si="26" ref="G758:G766">F758*E758</f>
        <v>9.3</v>
      </c>
      <c r="H758" s="268"/>
    </row>
    <row r="759" spans="1:8" ht="12.75">
      <c r="A759" s="424"/>
      <c r="B759" s="426" t="s">
        <v>299</v>
      </c>
      <c r="C759" s="387">
        <v>2.15</v>
      </c>
      <c r="D759" s="391">
        <v>1.6</v>
      </c>
      <c r="E759" s="391">
        <v>1.2</v>
      </c>
      <c r="F759" s="426">
        <f>(C759+D759)*2</f>
        <v>7.5</v>
      </c>
      <c r="G759" s="427">
        <f t="shared" si="26"/>
        <v>9</v>
      </c>
      <c r="H759" s="268"/>
    </row>
    <row r="760" spans="1:8" ht="12.75">
      <c r="A760" s="424"/>
      <c r="B760" s="426" t="s">
        <v>548</v>
      </c>
      <c r="C760" s="387">
        <v>3.3</v>
      </c>
      <c r="D760" s="391"/>
      <c r="E760" s="391">
        <v>3</v>
      </c>
      <c r="F760" s="387">
        <f>C760</f>
        <v>3.3</v>
      </c>
      <c r="G760" s="427">
        <f t="shared" si="26"/>
        <v>9.9</v>
      </c>
      <c r="H760" s="268"/>
    </row>
    <row r="761" spans="1:8" ht="12.75">
      <c r="A761" s="424"/>
      <c r="B761" s="426" t="s">
        <v>551</v>
      </c>
      <c r="C761" s="387">
        <v>2.05</v>
      </c>
      <c r="D761" s="391"/>
      <c r="E761" s="391">
        <v>3</v>
      </c>
      <c r="F761" s="387">
        <f>C761</f>
        <v>2.05</v>
      </c>
      <c r="G761" s="427">
        <f t="shared" si="26"/>
        <v>6.15</v>
      </c>
      <c r="H761" s="268"/>
    </row>
    <row r="762" spans="1:8" ht="12.75">
      <c r="A762" s="424"/>
      <c r="B762" s="426" t="s">
        <v>381</v>
      </c>
      <c r="C762" s="387">
        <v>2.05</v>
      </c>
      <c r="D762" s="391"/>
      <c r="E762" s="391">
        <v>3</v>
      </c>
      <c r="F762" s="387">
        <f>C762</f>
        <v>2.05</v>
      </c>
      <c r="G762" s="427">
        <f t="shared" si="26"/>
        <v>6.15</v>
      </c>
      <c r="H762" s="268"/>
    </row>
    <row r="763" spans="1:8" ht="12.75">
      <c r="A763" s="424"/>
      <c r="B763" s="426" t="s">
        <v>554</v>
      </c>
      <c r="C763" s="387">
        <v>2.9</v>
      </c>
      <c r="D763" s="391"/>
      <c r="E763" s="391">
        <v>3</v>
      </c>
      <c r="F763" s="387">
        <f>C763</f>
        <v>2.9</v>
      </c>
      <c r="G763" s="427">
        <f t="shared" si="26"/>
        <v>8.7</v>
      </c>
      <c r="H763" s="268"/>
    </row>
    <row r="764" spans="1:8" ht="12.75">
      <c r="A764" s="424"/>
      <c r="B764" s="426" t="s">
        <v>555</v>
      </c>
      <c r="C764" s="387">
        <v>3.9</v>
      </c>
      <c r="D764" s="391">
        <v>1.6</v>
      </c>
      <c r="E764" s="391">
        <v>3</v>
      </c>
      <c r="F764" s="387">
        <f>C764+D764+1</f>
        <v>6.5</v>
      </c>
      <c r="G764" s="427">
        <f t="shared" si="26"/>
        <v>19.5</v>
      </c>
      <c r="H764" s="268"/>
    </row>
    <row r="765" spans="1:8" ht="12.75">
      <c r="A765" s="424"/>
      <c r="B765" s="426" t="s">
        <v>274</v>
      </c>
      <c r="C765" s="387">
        <v>1.2</v>
      </c>
      <c r="D765" s="391"/>
      <c r="E765" s="391">
        <v>2.1</v>
      </c>
      <c r="F765" s="387">
        <f>C765</f>
        <v>1.2</v>
      </c>
      <c r="G765" s="427">
        <f t="shared" si="26"/>
        <v>2.52</v>
      </c>
      <c r="H765" s="268"/>
    </row>
    <row r="766" spans="1:8" ht="12.75">
      <c r="A766" s="424"/>
      <c r="B766" s="426" t="s">
        <v>390</v>
      </c>
      <c r="C766" s="387">
        <v>8.9</v>
      </c>
      <c r="D766" s="391">
        <v>5.5</v>
      </c>
      <c r="E766" s="391">
        <v>3</v>
      </c>
      <c r="F766" s="387">
        <f>(C766+D766)*2</f>
        <v>28.8</v>
      </c>
      <c r="G766" s="427">
        <f t="shared" si="26"/>
        <v>86.4</v>
      </c>
      <c r="H766" s="268"/>
    </row>
    <row r="767" spans="1:8" ht="12.75">
      <c r="A767" s="424"/>
      <c r="B767" s="426" t="s">
        <v>562</v>
      </c>
      <c r="C767" s="387">
        <v>9.2</v>
      </c>
      <c r="D767" s="391">
        <v>5.65</v>
      </c>
      <c r="E767" s="391">
        <v>3.5</v>
      </c>
      <c r="F767" s="387">
        <f>C767+(D767*2)</f>
        <v>20.5</v>
      </c>
      <c r="G767" s="427">
        <f>F767*E767</f>
        <v>71.75</v>
      </c>
      <c r="H767" s="268"/>
    </row>
    <row r="768" spans="1:8" ht="12.75">
      <c r="A768" s="424"/>
      <c r="B768" s="426" t="s">
        <v>298</v>
      </c>
      <c r="C768" s="387">
        <v>9.2</v>
      </c>
      <c r="D768" s="391"/>
      <c r="E768" s="391">
        <v>1.38</v>
      </c>
      <c r="F768" s="387"/>
      <c r="G768" s="427">
        <v>6.34</v>
      </c>
      <c r="H768" s="268"/>
    </row>
    <row r="769" spans="1:8" ht="13.5" thickBot="1">
      <c r="A769" s="33"/>
      <c r="B769" s="34"/>
      <c r="C769" s="34"/>
      <c r="D769" s="255"/>
      <c r="E769" s="52"/>
      <c r="F769" s="363" t="s">
        <v>2</v>
      </c>
      <c r="G769" s="381">
        <f>SUM(G755:G768)</f>
        <v>259.73</v>
      </c>
      <c r="H769" s="268"/>
    </row>
    <row r="770" spans="1:8" ht="13.5" thickBot="1">
      <c r="A770" s="33"/>
      <c r="B770" s="34"/>
      <c r="C770" s="34"/>
      <c r="D770" s="52"/>
      <c r="E770" s="481"/>
      <c r="F770" s="37"/>
      <c r="G770" s="35"/>
      <c r="H770" s="268"/>
    </row>
    <row r="771" spans="1:8" ht="13.5" thickBot="1">
      <c r="A771" s="80" t="s">
        <v>81</v>
      </c>
      <c r="B771" s="545" t="str">
        <f>Planilha!C80</f>
        <v>PINTURA ACRÍLICA EM PAREDE, DUAS (2) DEMÃOS, EXCLUSIVE SELADOR ACRÍLICO E MASSA ACRÍLICA/CORRIDA (PVA)</v>
      </c>
      <c r="C771" s="546"/>
      <c r="D771" s="546"/>
      <c r="E771" s="547"/>
      <c r="F771" s="81">
        <f>G801</f>
        <v>689</v>
      </c>
      <c r="G771" s="80" t="s">
        <v>107</v>
      </c>
      <c r="H771" s="268"/>
    </row>
    <row r="772" spans="1:8" ht="12.75">
      <c r="A772" s="33"/>
      <c r="B772" s="62"/>
      <c r="C772" s="62"/>
      <c r="D772" s="34"/>
      <c r="E772" s="45"/>
      <c r="F772" s="34"/>
      <c r="G772" s="35"/>
      <c r="H772" s="268"/>
    </row>
    <row r="773" spans="1:8" ht="12.75">
      <c r="A773" s="479"/>
      <c r="B773" s="114" t="s">
        <v>20</v>
      </c>
      <c r="C773" s="114" t="s">
        <v>21</v>
      </c>
      <c r="D773" s="114" t="s">
        <v>26</v>
      </c>
      <c r="E773" s="114" t="s">
        <v>249</v>
      </c>
      <c r="F773" s="411" t="s">
        <v>296</v>
      </c>
      <c r="G773" s="245" t="s">
        <v>23</v>
      </c>
      <c r="H773" s="268"/>
    </row>
    <row r="774" spans="1:8" ht="12.75">
      <c r="A774" s="477"/>
      <c r="B774" s="106" t="s">
        <v>382</v>
      </c>
      <c r="C774" s="108">
        <v>2.45</v>
      </c>
      <c r="D774" s="108">
        <v>3.25</v>
      </c>
      <c r="E774" s="108">
        <v>1.2</v>
      </c>
      <c r="F774" s="267">
        <f>(C774+D774)*2</f>
        <v>11.4</v>
      </c>
      <c r="G774" s="110">
        <f>F774*E774</f>
        <v>13.68</v>
      </c>
      <c r="H774" s="268"/>
    </row>
    <row r="775" spans="1:8" ht="12.75">
      <c r="A775" s="477"/>
      <c r="B775" s="106" t="s">
        <v>545</v>
      </c>
      <c r="C775" s="108">
        <v>1.75</v>
      </c>
      <c r="D775" s="108">
        <v>3.25</v>
      </c>
      <c r="E775" s="108">
        <v>1.9</v>
      </c>
      <c r="F775" s="267">
        <f>(C775+D775)*2</f>
        <v>10</v>
      </c>
      <c r="G775" s="110">
        <f>F775*E775</f>
        <v>19</v>
      </c>
      <c r="H775" s="268"/>
    </row>
    <row r="776" spans="1:8" ht="12.75">
      <c r="A776" s="477"/>
      <c r="B776" s="92" t="s">
        <v>537</v>
      </c>
      <c r="C776" s="108">
        <v>1.8</v>
      </c>
      <c r="D776" s="108">
        <v>3.25</v>
      </c>
      <c r="E776" s="108">
        <v>1.9</v>
      </c>
      <c r="F776" s="267">
        <f>(C776+D776)*2</f>
        <v>10.1</v>
      </c>
      <c r="G776" s="110">
        <f>F776*E776</f>
        <v>19.19</v>
      </c>
      <c r="H776" s="268"/>
    </row>
    <row r="777" spans="1:8" ht="12.75">
      <c r="A777" s="477"/>
      <c r="B777" s="106" t="s">
        <v>546</v>
      </c>
      <c r="C777" s="108">
        <v>3.05</v>
      </c>
      <c r="D777" s="108">
        <v>3</v>
      </c>
      <c r="E777" s="108">
        <v>1.9</v>
      </c>
      <c r="F777" s="267">
        <f aca="true" t="shared" si="27" ref="F777:F783">(C777+D777)*2</f>
        <v>12.1</v>
      </c>
      <c r="G777" s="110">
        <f>F777*E777</f>
        <v>22.99</v>
      </c>
      <c r="H777" s="268"/>
    </row>
    <row r="778" spans="1:8" ht="12.75">
      <c r="A778" s="477"/>
      <c r="B778" s="106" t="s">
        <v>547</v>
      </c>
      <c r="C778" s="108">
        <v>1.38</v>
      </c>
      <c r="D778" s="108">
        <v>2</v>
      </c>
      <c r="E778" s="108">
        <v>1.2</v>
      </c>
      <c r="F778" s="267">
        <f t="shared" si="27"/>
        <v>6.76</v>
      </c>
      <c r="G778" s="110">
        <f aca="true" t="shared" si="28" ref="G778:G785">F778*E778</f>
        <v>8.11</v>
      </c>
      <c r="H778" s="268"/>
    </row>
    <row r="779" spans="1:8" ht="12.75">
      <c r="A779" s="477"/>
      <c r="B779" s="106" t="s">
        <v>292</v>
      </c>
      <c r="C779" s="108">
        <v>1.38</v>
      </c>
      <c r="D779" s="108">
        <v>2</v>
      </c>
      <c r="E779" s="108">
        <v>1.2</v>
      </c>
      <c r="F779" s="267">
        <f t="shared" si="27"/>
        <v>6.76</v>
      </c>
      <c r="G779" s="110">
        <f t="shared" si="28"/>
        <v>8.11</v>
      </c>
      <c r="H779" s="52"/>
    </row>
    <row r="780" spans="1:8" ht="12.75">
      <c r="A780" s="477"/>
      <c r="B780" s="92" t="s">
        <v>224</v>
      </c>
      <c r="C780" s="112">
        <v>2.6</v>
      </c>
      <c r="D780" s="108">
        <v>4.4</v>
      </c>
      <c r="E780" s="108">
        <v>3</v>
      </c>
      <c r="F780" s="267">
        <f t="shared" si="27"/>
        <v>14</v>
      </c>
      <c r="G780" s="110">
        <f t="shared" si="28"/>
        <v>42</v>
      </c>
      <c r="H780" s="52"/>
    </row>
    <row r="781" spans="1:8" ht="12.75">
      <c r="A781" s="477"/>
      <c r="B781" s="92" t="s">
        <v>530</v>
      </c>
      <c r="C781" s="112">
        <v>3.3</v>
      </c>
      <c r="D781" s="108">
        <v>1.35</v>
      </c>
      <c r="E781" s="108">
        <v>1.2</v>
      </c>
      <c r="F781" s="267">
        <f t="shared" si="27"/>
        <v>9.3</v>
      </c>
      <c r="G781" s="110">
        <f t="shared" si="28"/>
        <v>11.16</v>
      </c>
      <c r="H781" s="52"/>
    </row>
    <row r="782" spans="1:8" ht="12.75">
      <c r="A782" s="33"/>
      <c r="B782" s="92" t="s">
        <v>234</v>
      </c>
      <c r="C782" s="112">
        <v>3.1</v>
      </c>
      <c r="D782" s="108">
        <v>3.3</v>
      </c>
      <c r="E782" s="108">
        <v>1.9</v>
      </c>
      <c r="F782" s="267">
        <f t="shared" si="27"/>
        <v>12.8</v>
      </c>
      <c r="G782" s="110">
        <f t="shared" si="28"/>
        <v>24.32</v>
      </c>
      <c r="H782" s="52"/>
    </row>
    <row r="783" spans="1:7" ht="12.75">
      <c r="A783" s="33"/>
      <c r="B783" s="92" t="s">
        <v>548</v>
      </c>
      <c r="C783" s="112">
        <v>3.3</v>
      </c>
      <c r="D783" s="108">
        <v>2.6</v>
      </c>
      <c r="E783" s="108">
        <v>1.9</v>
      </c>
      <c r="F783" s="267">
        <f t="shared" si="27"/>
        <v>11.8</v>
      </c>
      <c r="G783" s="110">
        <f t="shared" si="28"/>
        <v>22.42</v>
      </c>
    </row>
    <row r="784" spans="1:7" ht="12.75">
      <c r="A784" s="33"/>
      <c r="B784" s="252" t="s">
        <v>225</v>
      </c>
      <c r="C784" s="112">
        <v>4.5</v>
      </c>
      <c r="D784" s="108">
        <v>2.6</v>
      </c>
      <c r="E784" s="108">
        <v>1.9</v>
      </c>
      <c r="F784" s="267">
        <f aca="true" t="shared" si="29" ref="F784:F790">(C784+D784)*2</f>
        <v>14.2</v>
      </c>
      <c r="G784" s="110">
        <f t="shared" si="28"/>
        <v>26.98</v>
      </c>
    </row>
    <row r="785" spans="1:7" ht="15" customHeight="1">
      <c r="A785" s="33"/>
      <c r="B785" s="252" t="s">
        <v>536</v>
      </c>
      <c r="C785" s="112">
        <v>1.3</v>
      </c>
      <c r="D785" s="108">
        <v>2.6</v>
      </c>
      <c r="E785" s="108">
        <v>1.2</v>
      </c>
      <c r="F785" s="267">
        <f t="shared" si="29"/>
        <v>7.8</v>
      </c>
      <c r="G785" s="110">
        <f t="shared" si="28"/>
        <v>9.36</v>
      </c>
    </row>
    <row r="786" spans="1:7" ht="12.75">
      <c r="A786" s="33"/>
      <c r="B786" s="252" t="s">
        <v>274</v>
      </c>
      <c r="C786" s="112">
        <v>3.35</v>
      </c>
      <c r="D786" s="108">
        <v>2.75</v>
      </c>
      <c r="E786" s="108">
        <v>1.9</v>
      </c>
      <c r="F786" s="267">
        <f>C786+D786</f>
        <v>6.1</v>
      </c>
      <c r="G786" s="110">
        <f>F786*E786+7.85</f>
        <v>19.44</v>
      </c>
    </row>
    <row r="787" spans="1:7" ht="12.75">
      <c r="A787" s="33"/>
      <c r="B787" s="92" t="s">
        <v>549</v>
      </c>
      <c r="C787" s="112">
        <v>3.05</v>
      </c>
      <c r="D787" s="108">
        <v>1.6</v>
      </c>
      <c r="E787" s="108">
        <v>1.9</v>
      </c>
      <c r="F787" s="267">
        <f t="shared" si="29"/>
        <v>9.3</v>
      </c>
      <c r="G787" s="110">
        <f>F787*E787</f>
        <v>17.67</v>
      </c>
    </row>
    <row r="788" spans="1:7" ht="12.75">
      <c r="A788" s="33"/>
      <c r="B788" s="92" t="s">
        <v>550</v>
      </c>
      <c r="C788" s="112">
        <v>3.05</v>
      </c>
      <c r="D788" s="108">
        <v>2.4</v>
      </c>
      <c r="E788" s="108">
        <v>1.9</v>
      </c>
      <c r="F788" s="267">
        <f t="shared" si="29"/>
        <v>10.9</v>
      </c>
      <c r="G788" s="110">
        <f>(F788*E788)-4.56</f>
        <v>16.15</v>
      </c>
    </row>
    <row r="789" spans="1:7" ht="12.75">
      <c r="A789" s="33"/>
      <c r="B789" s="92" t="s">
        <v>223</v>
      </c>
      <c r="C789" s="112">
        <v>3.6</v>
      </c>
      <c r="D789" s="108">
        <v>4.15</v>
      </c>
      <c r="E789" s="108">
        <v>1.9</v>
      </c>
      <c r="F789" s="267">
        <f t="shared" si="29"/>
        <v>15.5</v>
      </c>
      <c r="G789" s="110">
        <f aca="true" t="shared" si="30" ref="G789:G797">F789*E789</f>
        <v>29.45</v>
      </c>
    </row>
    <row r="790" spans="1:7" ht="12.75">
      <c r="A790" s="33"/>
      <c r="B790" s="92" t="s">
        <v>300</v>
      </c>
      <c r="C790" s="112">
        <v>1.2</v>
      </c>
      <c r="D790" s="108">
        <v>1.2</v>
      </c>
      <c r="E790" s="108">
        <v>1.9</v>
      </c>
      <c r="F790" s="267">
        <f t="shared" si="29"/>
        <v>4.8</v>
      </c>
      <c r="G790" s="110">
        <f t="shared" si="30"/>
        <v>9.12</v>
      </c>
    </row>
    <row r="791" spans="1:7" ht="12.75">
      <c r="A791" s="33"/>
      <c r="B791" s="92" t="s">
        <v>551</v>
      </c>
      <c r="C791" s="112">
        <v>2.05</v>
      </c>
      <c r="D791" s="108">
        <v>1.7</v>
      </c>
      <c r="E791" s="108">
        <v>1.9</v>
      </c>
      <c r="F791" s="267">
        <f>C791+(D791*2)</f>
        <v>5.45</v>
      </c>
      <c r="G791" s="110">
        <f t="shared" si="30"/>
        <v>10.36</v>
      </c>
    </row>
    <row r="792" spans="1:7" ht="12.75">
      <c r="A792" s="33"/>
      <c r="B792" s="92" t="s">
        <v>381</v>
      </c>
      <c r="C792" s="112">
        <v>2.05</v>
      </c>
      <c r="D792" s="108">
        <v>2.3</v>
      </c>
      <c r="E792" s="108">
        <v>1.9</v>
      </c>
      <c r="F792" s="267">
        <f>C792+(D792*2)</f>
        <v>6.65</v>
      </c>
      <c r="G792" s="110">
        <f t="shared" si="30"/>
        <v>12.64</v>
      </c>
    </row>
    <row r="793" spans="1:7" ht="12.75">
      <c r="A793" s="33"/>
      <c r="B793" s="92" t="s">
        <v>552</v>
      </c>
      <c r="C793" s="112">
        <v>9.15</v>
      </c>
      <c r="D793" s="108">
        <v>1.2</v>
      </c>
      <c r="E793" s="108">
        <v>1.9</v>
      </c>
      <c r="F793" s="267">
        <f>C793*2+(D793)</f>
        <v>19.5</v>
      </c>
      <c r="G793" s="110">
        <f t="shared" si="30"/>
        <v>37.05</v>
      </c>
    </row>
    <row r="794" spans="1:7" ht="12.75">
      <c r="A794" s="33"/>
      <c r="B794" s="92" t="s">
        <v>553</v>
      </c>
      <c r="C794" s="112">
        <v>3.35</v>
      </c>
      <c r="D794" s="108">
        <v>2.75</v>
      </c>
      <c r="E794" s="108">
        <v>1.9</v>
      </c>
      <c r="F794" s="253">
        <f>C794+D794</f>
        <v>6.1</v>
      </c>
      <c r="G794" s="110">
        <f t="shared" si="30"/>
        <v>11.59</v>
      </c>
    </row>
    <row r="795" spans="1:7" ht="12.75">
      <c r="A795" s="33"/>
      <c r="B795" s="92" t="s">
        <v>554</v>
      </c>
      <c r="C795" s="112">
        <v>1.25</v>
      </c>
      <c r="D795" s="108">
        <v>2.9</v>
      </c>
      <c r="E795" s="108">
        <v>1.9</v>
      </c>
      <c r="F795" s="213">
        <f>(C795*2)+E795</f>
        <v>4.4</v>
      </c>
      <c r="G795" s="110">
        <f t="shared" si="30"/>
        <v>8.36</v>
      </c>
    </row>
    <row r="796" spans="1:7" ht="12.75">
      <c r="A796" s="33"/>
      <c r="B796" s="92" t="s">
        <v>555</v>
      </c>
      <c r="C796" s="112">
        <v>2.9</v>
      </c>
      <c r="D796" s="108">
        <v>1.6</v>
      </c>
      <c r="E796" s="108">
        <v>1.9</v>
      </c>
      <c r="F796" s="213">
        <f>(C796*2)+D796</f>
        <v>7.4</v>
      </c>
      <c r="G796" s="110">
        <f t="shared" si="30"/>
        <v>14.06</v>
      </c>
    </row>
    <row r="797" spans="1:7" ht="12.75">
      <c r="A797" s="33"/>
      <c r="B797" s="92" t="s">
        <v>383</v>
      </c>
      <c r="C797" s="112">
        <v>3.35</v>
      </c>
      <c r="D797" s="108">
        <v>2.75</v>
      </c>
      <c r="E797" s="108">
        <v>1.9</v>
      </c>
      <c r="F797" s="213">
        <f>C797+(D797*2)+1.55</f>
        <v>10.4</v>
      </c>
      <c r="G797" s="110">
        <f t="shared" si="30"/>
        <v>19.76</v>
      </c>
    </row>
    <row r="798" spans="1:7" ht="12.75">
      <c r="A798" s="33"/>
      <c r="B798" s="92" t="s">
        <v>557</v>
      </c>
      <c r="C798" s="112">
        <v>5.5</v>
      </c>
      <c r="D798" s="254">
        <v>8.9</v>
      </c>
      <c r="E798" s="108">
        <v>1.9</v>
      </c>
      <c r="F798" s="92">
        <f>(C798+D798)*2</f>
        <v>28.8</v>
      </c>
      <c r="G798" s="110">
        <f>F798*E798</f>
        <v>54.72</v>
      </c>
    </row>
    <row r="799" spans="1:7" ht="12.75">
      <c r="A799" s="33"/>
      <c r="B799" s="92" t="s">
        <v>563</v>
      </c>
      <c r="C799" s="112">
        <v>28</v>
      </c>
      <c r="D799" s="254">
        <v>9.2</v>
      </c>
      <c r="E799" s="108">
        <v>2.62</v>
      </c>
      <c r="F799" s="92">
        <f>(C799+D799)*2</f>
        <v>74.4</v>
      </c>
      <c r="G799" s="110">
        <f>F799*E799</f>
        <v>194.93</v>
      </c>
    </row>
    <row r="800" spans="1:7" ht="12.75">
      <c r="A800" s="33"/>
      <c r="B800" s="92" t="s">
        <v>298</v>
      </c>
      <c r="C800" s="112">
        <v>9.2</v>
      </c>
      <c r="D800" s="112"/>
      <c r="E800" s="108">
        <v>1.38</v>
      </c>
      <c r="F800" s="213">
        <f>C800</f>
        <v>9.2</v>
      </c>
      <c r="G800" s="110">
        <v>6.34</v>
      </c>
    </row>
    <row r="801" spans="1:7" ht="13.5" thickBot="1">
      <c r="A801" s="33"/>
      <c r="B801" s="45"/>
      <c r="C801" s="45"/>
      <c r="D801" s="359"/>
      <c r="E801" s="360"/>
      <c r="F801" s="385" t="s">
        <v>2</v>
      </c>
      <c r="G801" s="429">
        <f>SUM(G774:G800)</f>
        <v>689</v>
      </c>
    </row>
    <row r="802" spans="1:7" ht="13.5" thickBot="1">
      <c r="A802" s="33"/>
      <c r="B802" s="34"/>
      <c r="C802" s="34"/>
      <c r="D802" s="255"/>
      <c r="E802" s="52"/>
      <c r="F802" s="481"/>
      <c r="G802" s="277"/>
    </row>
    <row r="803" spans="1:7" ht="13.5" thickBot="1">
      <c r="A803" s="80" t="s">
        <v>429</v>
      </c>
      <c r="B803" s="554" t="str">
        <f>Planilha!C81</f>
        <v>PINTURA ESMALTE EM SUPERFÍCIE DE CONCRETO/ALVENARIA, DUAS (2) DEMÃOS, EXCLUSIVE SELADOR ACRÍLICO E MASSA ACRÍLICA/CORRIDA (PVA)</v>
      </c>
      <c r="C803" s="555"/>
      <c r="D803" s="555"/>
      <c r="E803" s="556"/>
      <c r="F803" s="81">
        <f>G828</f>
        <v>390</v>
      </c>
      <c r="G803" s="80" t="s">
        <v>19</v>
      </c>
    </row>
    <row r="804" spans="1:7" ht="12.75">
      <c r="A804" s="477"/>
      <c r="B804" s="34"/>
      <c r="C804" s="34"/>
      <c r="D804" s="34"/>
      <c r="E804" s="45"/>
      <c r="F804" s="34"/>
      <c r="G804" s="32"/>
    </row>
    <row r="805" spans="1:7" ht="12.75">
      <c r="A805" s="477"/>
      <c r="B805" s="114" t="s">
        <v>20</v>
      </c>
      <c r="C805" s="114" t="s">
        <v>21</v>
      </c>
      <c r="D805" s="114" t="s">
        <v>26</v>
      </c>
      <c r="E805" s="114" t="s">
        <v>249</v>
      </c>
      <c r="F805" s="411" t="s">
        <v>296</v>
      </c>
      <c r="G805" s="245" t="s">
        <v>23</v>
      </c>
    </row>
    <row r="806" spans="1:7" ht="12.75">
      <c r="A806" s="477"/>
      <c r="B806" s="106" t="s">
        <v>545</v>
      </c>
      <c r="C806" s="108">
        <v>1.75</v>
      </c>
      <c r="D806" s="108">
        <v>3.25</v>
      </c>
      <c r="E806" s="108">
        <v>1.1</v>
      </c>
      <c r="F806" s="267">
        <f>(C806+D806)*2</f>
        <v>10</v>
      </c>
      <c r="G806" s="110">
        <f>F806*E806</f>
        <v>11</v>
      </c>
    </row>
    <row r="807" spans="1:7" ht="12.75">
      <c r="A807" s="477"/>
      <c r="B807" s="92" t="s">
        <v>537</v>
      </c>
      <c r="C807" s="108">
        <v>1.8</v>
      </c>
      <c r="D807" s="108">
        <v>3.25</v>
      </c>
      <c r="E807" s="108">
        <v>1.1</v>
      </c>
      <c r="F807" s="267">
        <f>(C807+D807)*2</f>
        <v>10.1</v>
      </c>
      <c r="G807" s="110">
        <f>F807*E807</f>
        <v>11.11</v>
      </c>
    </row>
    <row r="808" spans="1:7" ht="16.5" customHeight="1">
      <c r="A808" s="477"/>
      <c r="B808" s="106" t="s">
        <v>546</v>
      </c>
      <c r="C808" s="108">
        <v>3.05</v>
      </c>
      <c r="D808" s="108">
        <v>3</v>
      </c>
      <c r="E808" s="108">
        <v>1.1</v>
      </c>
      <c r="F808" s="267">
        <f>(C808+D808)*2</f>
        <v>12.1</v>
      </c>
      <c r="G808" s="110">
        <f>F808*E808</f>
        <v>13.31</v>
      </c>
    </row>
    <row r="809" spans="1:7" ht="12.75">
      <c r="A809" s="477"/>
      <c r="B809" s="92" t="s">
        <v>224</v>
      </c>
      <c r="C809" s="112">
        <v>2.6</v>
      </c>
      <c r="D809" s="108">
        <v>4.4</v>
      </c>
      <c r="E809" s="108">
        <v>1.1</v>
      </c>
      <c r="F809" s="267">
        <f>(C809+D809)*2</f>
        <v>14</v>
      </c>
      <c r="G809" s="110">
        <f aca="true" t="shared" si="31" ref="G809:G827">F809*E809</f>
        <v>15.4</v>
      </c>
    </row>
    <row r="810" spans="1:7" ht="12.75">
      <c r="A810" s="477"/>
      <c r="B810" s="92" t="s">
        <v>234</v>
      </c>
      <c r="C810" s="112">
        <v>3.1</v>
      </c>
      <c r="D810" s="108">
        <v>3.3</v>
      </c>
      <c r="E810" s="108">
        <v>1.1</v>
      </c>
      <c r="F810" s="267">
        <f>(C810+D810)*2</f>
        <v>12.8</v>
      </c>
      <c r="G810" s="110">
        <f t="shared" si="31"/>
        <v>14.08</v>
      </c>
    </row>
    <row r="811" spans="1:7" ht="12.75">
      <c r="A811" s="477"/>
      <c r="B811" s="92" t="s">
        <v>548</v>
      </c>
      <c r="C811" s="112">
        <v>3.3</v>
      </c>
      <c r="D811" s="108">
        <v>2.6</v>
      </c>
      <c r="E811" s="108">
        <v>1.1</v>
      </c>
      <c r="F811" s="267">
        <f>(C811+D811)*2</f>
        <v>11.8</v>
      </c>
      <c r="G811" s="110">
        <f t="shared" si="31"/>
        <v>12.98</v>
      </c>
    </row>
    <row r="812" spans="1:7" ht="12.75">
      <c r="A812" s="477"/>
      <c r="B812" s="252" t="s">
        <v>225</v>
      </c>
      <c r="C812" s="112">
        <v>4.5</v>
      </c>
      <c r="D812" s="108">
        <v>2.6</v>
      </c>
      <c r="E812" s="108">
        <v>1.1</v>
      </c>
      <c r="F812" s="267">
        <f>(C812+D812)*2</f>
        <v>14.2</v>
      </c>
      <c r="G812" s="110">
        <f t="shared" si="31"/>
        <v>15.62</v>
      </c>
    </row>
    <row r="813" spans="1:7" ht="12.75">
      <c r="A813" s="477"/>
      <c r="B813" s="252" t="s">
        <v>274</v>
      </c>
      <c r="C813" s="112">
        <v>3.35</v>
      </c>
      <c r="D813" s="108">
        <v>2.75</v>
      </c>
      <c r="E813" s="108">
        <v>1.1</v>
      </c>
      <c r="F813" s="267">
        <f>(C813+D813)*2</f>
        <v>12.2</v>
      </c>
      <c r="G813" s="110">
        <f t="shared" si="31"/>
        <v>13.42</v>
      </c>
    </row>
    <row r="814" spans="1:7" ht="12.75">
      <c r="A814" s="477"/>
      <c r="B814" s="92" t="s">
        <v>549</v>
      </c>
      <c r="C814" s="112">
        <v>3.05</v>
      </c>
      <c r="D814" s="108">
        <v>1.6</v>
      </c>
      <c r="E814" s="108">
        <v>1.1</v>
      </c>
      <c r="F814" s="267">
        <f>(C814+D814)*2</f>
        <v>9.3</v>
      </c>
      <c r="G814" s="110">
        <f t="shared" si="31"/>
        <v>10.23</v>
      </c>
    </row>
    <row r="815" spans="1:7" ht="12.75">
      <c r="A815" s="477"/>
      <c r="B815" s="92" t="s">
        <v>550</v>
      </c>
      <c r="C815" s="112">
        <v>3.05</v>
      </c>
      <c r="D815" s="108">
        <v>2.4</v>
      </c>
      <c r="E815" s="108">
        <v>1.1</v>
      </c>
      <c r="F815" s="267">
        <f>(C815+D815)*2</f>
        <v>10.9</v>
      </c>
      <c r="G815" s="110">
        <f t="shared" si="31"/>
        <v>11.99</v>
      </c>
    </row>
    <row r="816" spans="1:7" ht="12.75">
      <c r="A816" s="477"/>
      <c r="B816" s="92" t="s">
        <v>223</v>
      </c>
      <c r="C816" s="112">
        <v>3.6</v>
      </c>
      <c r="D816" s="108">
        <v>4.15</v>
      </c>
      <c r="E816" s="108">
        <v>1.1</v>
      </c>
      <c r="F816" s="267">
        <f>(C816+D816)*2</f>
        <v>15.5</v>
      </c>
      <c r="G816" s="110">
        <f t="shared" si="31"/>
        <v>17.05</v>
      </c>
    </row>
    <row r="817" spans="1:7" ht="12.75">
      <c r="A817" s="477"/>
      <c r="B817" s="92" t="s">
        <v>300</v>
      </c>
      <c r="C817" s="112">
        <v>1.2</v>
      </c>
      <c r="D817" s="108">
        <v>1.2</v>
      </c>
      <c r="E817" s="108">
        <v>1.1</v>
      </c>
      <c r="F817" s="267">
        <f>(C817+D817)*2</f>
        <v>4.8</v>
      </c>
      <c r="G817" s="110">
        <f t="shared" si="31"/>
        <v>5.28</v>
      </c>
    </row>
    <row r="818" spans="1:7" ht="12.75">
      <c r="A818" s="477"/>
      <c r="B818" s="92" t="s">
        <v>551</v>
      </c>
      <c r="C818" s="112">
        <v>2.05</v>
      </c>
      <c r="D818" s="108">
        <v>1.7</v>
      </c>
      <c r="E818" s="108">
        <v>1.1</v>
      </c>
      <c r="F818" s="267">
        <f>C818+(D818*2)</f>
        <v>5.45</v>
      </c>
      <c r="G818" s="110">
        <f t="shared" si="31"/>
        <v>6</v>
      </c>
    </row>
    <row r="819" spans="1:7" ht="12.75">
      <c r="A819" s="477"/>
      <c r="B819" s="92" t="s">
        <v>381</v>
      </c>
      <c r="C819" s="112">
        <v>2.05</v>
      </c>
      <c r="D819" s="108">
        <v>2.3</v>
      </c>
      <c r="E819" s="108">
        <v>1.1</v>
      </c>
      <c r="F819" s="267">
        <f>C819+(D819*2)</f>
        <v>6.65</v>
      </c>
      <c r="G819" s="110">
        <f t="shared" si="31"/>
        <v>7.32</v>
      </c>
    </row>
    <row r="820" spans="1:7" ht="12.75">
      <c r="A820" s="477"/>
      <c r="B820" s="92" t="s">
        <v>552</v>
      </c>
      <c r="C820" s="112">
        <v>9.15</v>
      </c>
      <c r="D820" s="108">
        <v>1.2</v>
      </c>
      <c r="E820" s="108">
        <v>1.1</v>
      </c>
      <c r="F820" s="267">
        <f>C820*2+(D820)</f>
        <v>19.5</v>
      </c>
      <c r="G820" s="110">
        <f t="shared" si="31"/>
        <v>21.45</v>
      </c>
    </row>
    <row r="821" spans="1:7" ht="12.75">
      <c r="A821" s="477"/>
      <c r="B821" s="92" t="s">
        <v>553</v>
      </c>
      <c r="C821" s="112">
        <v>3.35</v>
      </c>
      <c r="D821" s="108">
        <v>2.75</v>
      </c>
      <c r="E821" s="108">
        <v>1.1</v>
      </c>
      <c r="F821" s="253">
        <f>C821+D821</f>
        <v>6.1</v>
      </c>
      <c r="G821" s="110">
        <f t="shared" si="31"/>
        <v>6.71</v>
      </c>
    </row>
    <row r="822" spans="1:7" ht="12.75">
      <c r="A822" s="477"/>
      <c r="B822" s="92" t="s">
        <v>554</v>
      </c>
      <c r="C822" s="112">
        <v>1.25</v>
      </c>
      <c r="D822" s="108">
        <v>2.9</v>
      </c>
      <c r="E822" s="108">
        <v>1.1</v>
      </c>
      <c r="F822" s="213">
        <f>(C822*2)+E822</f>
        <v>3.6</v>
      </c>
      <c r="G822" s="110">
        <f t="shared" si="31"/>
        <v>3.96</v>
      </c>
    </row>
    <row r="823" spans="1:7" ht="12.75">
      <c r="A823" s="477"/>
      <c r="B823" s="92" t="s">
        <v>555</v>
      </c>
      <c r="C823" s="112">
        <v>2.9</v>
      </c>
      <c r="D823" s="108">
        <v>1.6</v>
      </c>
      <c r="E823" s="108">
        <v>1.1</v>
      </c>
      <c r="F823" s="213">
        <f>(C823*2)+D823+1</f>
        <v>8.4</v>
      </c>
      <c r="G823" s="110">
        <f t="shared" si="31"/>
        <v>9.24</v>
      </c>
    </row>
    <row r="824" spans="1:7" ht="12.75">
      <c r="A824" s="477"/>
      <c r="B824" s="92" t="s">
        <v>383</v>
      </c>
      <c r="C824" s="112">
        <v>3.35</v>
      </c>
      <c r="D824" s="108">
        <v>2.75</v>
      </c>
      <c r="E824" s="108">
        <v>1.1</v>
      </c>
      <c r="F824" s="213">
        <f>C824+(D824*2)+1.55</f>
        <v>10.4</v>
      </c>
      <c r="G824" s="110">
        <f t="shared" si="31"/>
        <v>11.44</v>
      </c>
    </row>
    <row r="825" spans="1:7" ht="12.75">
      <c r="A825" s="477"/>
      <c r="B825" s="92" t="s">
        <v>557</v>
      </c>
      <c r="C825" s="112">
        <v>5.5</v>
      </c>
      <c r="D825" s="254">
        <v>8.9</v>
      </c>
      <c r="E825" s="108">
        <v>1.1</v>
      </c>
      <c r="F825" s="92">
        <f>(C825+D825)*2</f>
        <v>28.8</v>
      </c>
      <c r="G825" s="110">
        <f t="shared" si="31"/>
        <v>31.68</v>
      </c>
    </row>
    <row r="826" spans="1:7" ht="12.75">
      <c r="A826" s="477"/>
      <c r="B826" s="92" t="s">
        <v>563</v>
      </c>
      <c r="C826" s="112">
        <v>28</v>
      </c>
      <c r="D826" s="254">
        <v>9.2</v>
      </c>
      <c r="E826" s="108">
        <v>1.1</v>
      </c>
      <c r="F826" s="92">
        <f>(C826+D826)*2</f>
        <v>74.4</v>
      </c>
      <c r="G826" s="110">
        <f t="shared" si="31"/>
        <v>81.84</v>
      </c>
    </row>
    <row r="827" spans="1:7" ht="12.75">
      <c r="A827" s="477"/>
      <c r="B827" s="92" t="s">
        <v>297</v>
      </c>
      <c r="C827" s="112">
        <v>26.75</v>
      </c>
      <c r="D827" s="112"/>
      <c r="E827" s="108">
        <v>1.1</v>
      </c>
      <c r="F827" s="253">
        <f>C827*2</f>
        <v>53.5</v>
      </c>
      <c r="G827" s="110">
        <f t="shared" si="31"/>
        <v>58.85</v>
      </c>
    </row>
    <row r="828" spans="1:7" ht="13.5" thickBot="1">
      <c r="A828" s="477"/>
      <c r="B828" s="45"/>
      <c r="C828" s="45"/>
      <c r="D828" s="359"/>
      <c r="E828" s="360"/>
      <c r="F828" s="385" t="s">
        <v>2</v>
      </c>
      <c r="G828" s="429">
        <f>SUM(G806:G827)</f>
        <v>390</v>
      </c>
    </row>
    <row r="829" spans="1:7" ht="13.5" thickBot="1">
      <c r="A829" s="33"/>
      <c r="B829" s="34"/>
      <c r="C829" s="34"/>
      <c r="D829" s="255"/>
      <c r="E829" s="52"/>
      <c r="F829" s="481"/>
      <c r="G829" s="250"/>
    </row>
    <row r="830" spans="1:7" ht="13.5" thickBot="1">
      <c r="A830" s="80" t="s">
        <v>430</v>
      </c>
      <c r="B830" s="545" t="str">
        <f>Planilha!C82</f>
        <v>LIXAMENTO MANUAL EM SUPERFÍCIE METÁLICA PARA REMOÇÃO DE TINTA</v>
      </c>
      <c r="C830" s="546"/>
      <c r="D830" s="546"/>
      <c r="E830" s="547"/>
      <c r="F830" s="81">
        <f>F848</f>
        <v>75.44</v>
      </c>
      <c r="G830" s="80" t="s">
        <v>107</v>
      </c>
    </row>
    <row r="831" spans="1:7" ht="12.75">
      <c r="A831" s="54"/>
      <c r="B831" s="34"/>
      <c r="C831" s="34"/>
      <c r="D831" s="34"/>
      <c r="E831" s="45"/>
      <c r="F831" s="52"/>
      <c r="G831" s="63"/>
    </row>
    <row r="832" spans="1:7" ht="12.75">
      <c r="A832" s="58"/>
      <c r="B832" s="551" t="s">
        <v>31</v>
      </c>
      <c r="C832" s="552"/>
      <c r="D832" s="552"/>
      <c r="E832" s="552"/>
      <c r="F832" s="552"/>
      <c r="G832" s="553"/>
    </row>
    <row r="833" spans="1:7" ht="12.75">
      <c r="A833" s="33"/>
      <c r="B833" s="114" t="s">
        <v>20</v>
      </c>
      <c r="C833" s="114" t="s">
        <v>21</v>
      </c>
      <c r="D833" s="114" t="s">
        <v>26</v>
      </c>
      <c r="E833" s="114" t="s">
        <v>24</v>
      </c>
      <c r="F833" s="114" t="s">
        <v>23</v>
      </c>
      <c r="G833" s="94"/>
    </row>
    <row r="834" spans="1:7" ht="12.75">
      <c r="A834" s="33"/>
      <c r="B834" s="106" t="s">
        <v>226</v>
      </c>
      <c r="C834" s="108">
        <v>1.4</v>
      </c>
      <c r="D834" s="108">
        <v>1.2</v>
      </c>
      <c r="E834" s="108">
        <v>1</v>
      </c>
      <c r="F834" s="108">
        <f>(C834*D834*E834)*2</f>
        <v>3.36</v>
      </c>
      <c r="G834" s="94"/>
    </row>
    <row r="835" spans="1:7" ht="12.75">
      <c r="A835" s="33"/>
      <c r="B835" s="106" t="s">
        <v>229</v>
      </c>
      <c r="C835" s="108">
        <v>1.4</v>
      </c>
      <c r="D835" s="108">
        <v>1.2</v>
      </c>
      <c r="E835" s="108">
        <v>1</v>
      </c>
      <c r="F835" s="108">
        <f aca="true" t="shared" si="32" ref="F835:F847">(C835*D835*E835)*2</f>
        <v>3.36</v>
      </c>
      <c r="G835" s="94"/>
    </row>
    <row r="836" spans="1:7" ht="12.75">
      <c r="A836" s="33"/>
      <c r="B836" s="92" t="s">
        <v>537</v>
      </c>
      <c r="C836" s="108">
        <v>1.4</v>
      </c>
      <c r="D836" s="108">
        <v>1.2</v>
      </c>
      <c r="E836" s="108">
        <v>1</v>
      </c>
      <c r="F836" s="108">
        <f t="shared" si="32"/>
        <v>3.36</v>
      </c>
      <c r="G836" s="94"/>
    </row>
    <row r="837" spans="1:7" ht="12.75">
      <c r="A837" s="33"/>
      <c r="B837" s="106" t="s">
        <v>239</v>
      </c>
      <c r="C837" s="108">
        <v>1.4</v>
      </c>
      <c r="D837" s="108">
        <v>1.2</v>
      </c>
      <c r="E837" s="108">
        <v>1</v>
      </c>
      <c r="F837" s="108">
        <f t="shared" si="32"/>
        <v>3.36</v>
      </c>
      <c r="G837" s="94"/>
    </row>
    <row r="838" spans="1:7" ht="12.75">
      <c r="A838" s="33"/>
      <c r="B838" s="92" t="s">
        <v>224</v>
      </c>
      <c r="C838" s="112">
        <v>1.4</v>
      </c>
      <c r="D838" s="92">
        <v>1.2</v>
      </c>
      <c r="E838" s="108">
        <v>1</v>
      </c>
      <c r="F838" s="108">
        <f t="shared" si="32"/>
        <v>3.36</v>
      </c>
      <c r="G838" s="94"/>
    </row>
    <row r="839" spans="1:7" ht="12.75">
      <c r="A839" s="33"/>
      <c r="B839" s="92" t="s">
        <v>530</v>
      </c>
      <c r="C839" s="112">
        <v>1</v>
      </c>
      <c r="D839" s="92">
        <v>0.6</v>
      </c>
      <c r="E839" s="108">
        <v>1</v>
      </c>
      <c r="F839" s="108">
        <f t="shared" si="32"/>
        <v>1.2</v>
      </c>
      <c r="G839" s="94"/>
    </row>
    <row r="840" spans="1:7" ht="12.75">
      <c r="A840" s="33"/>
      <c r="B840" s="92" t="s">
        <v>232</v>
      </c>
      <c r="C840" s="112">
        <v>1.4</v>
      </c>
      <c r="D840" s="92">
        <v>1.2</v>
      </c>
      <c r="E840" s="108">
        <v>1</v>
      </c>
      <c r="F840" s="108">
        <f t="shared" si="32"/>
        <v>3.36</v>
      </c>
      <c r="G840" s="94"/>
    </row>
    <row r="841" spans="1:7" ht="12.75">
      <c r="A841" s="33"/>
      <c r="B841" s="92" t="s">
        <v>225</v>
      </c>
      <c r="C841" s="112">
        <v>1.4</v>
      </c>
      <c r="D841" s="92">
        <v>1.2</v>
      </c>
      <c r="E841" s="108">
        <v>1</v>
      </c>
      <c r="F841" s="108">
        <f t="shared" si="32"/>
        <v>3.36</v>
      </c>
      <c r="G841" s="94"/>
    </row>
    <row r="842" spans="1:7" ht="12.75">
      <c r="A842" s="33"/>
      <c r="B842" s="92" t="s">
        <v>536</v>
      </c>
      <c r="C842" s="112">
        <v>1</v>
      </c>
      <c r="D842" s="92">
        <v>0.6</v>
      </c>
      <c r="E842" s="108">
        <v>1</v>
      </c>
      <c r="F842" s="108">
        <f t="shared" si="32"/>
        <v>1.2</v>
      </c>
      <c r="G842" s="94"/>
    </row>
    <row r="843" spans="1:7" ht="12.75">
      <c r="A843" s="33"/>
      <c r="B843" s="92" t="s">
        <v>275</v>
      </c>
      <c r="C843" s="112">
        <v>1</v>
      </c>
      <c r="D843" s="92">
        <v>0.6</v>
      </c>
      <c r="E843" s="108">
        <v>2</v>
      </c>
      <c r="F843" s="108">
        <f t="shared" si="32"/>
        <v>2.4</v>
      </c>
      <c r="G843" s="94"/>
    </row>
    <row r="844" spans="1:7" ht="12.75">
      <c r="A844" s="33"/>
      <c r="B844" s="92" t="s">
        <v>223</v>
      </c>
      <c r="C844" s="112">
        <v>1.4</v>
      </c>
      <c r="D844" s="92">
        <v>1.2</v>
      </c>
      <c r="E844" s="108">
        <v>1</v>
      </c>
      <c r="F844" s="108">
        <f t="shared" si="32"/>
        <v>3.36</v>
      </c>
      <c r="G844" s="94"/>
    </row>
    <row r="845" spans="1:7" ht="12.75">
      <c r="A845" s="33"/>
      <c r="B845" s="86" t="s">
        <v>270</v>
      </c>
      <c r="C845" s="211">
        <v>1</v>
      </c>
      <c r="D845" s="86">
        <v>0.6</v>
      </c>
      <c r="E845" s="108">
        <v>1</v>
      </c>
      <c r="F845" s="108">
        <f t="shared" si="32"/>
        <v>1.2</v>
      </c>
      <c r="G845" s="94"/>
    </row>
    <row r="846" spans="1:7" ht="12.75">
      <c r="A846" s="33"/>
      <c r="B846" s="92" t="s">
        <v>274</v>
      </c>
      <c r="C846" s="112">
        <v>1.4</v>
      </c>
      <c r="D846" s="92">
        <v>1.2</v>
      </c>
      <c r="E846" s="108">
        <v>1</v>
      </c>
      <c r="F846" s="108">
        <f t="shared" si="32"/>
        <v>3.36</v>
      </c>
      <c r="G846" s="94"/>
    </row>
    <row r="847" spans="1:7" ht="13.5" thickBot="1">
      <c r="A847" s="33"/>
      <c r="B847" s="106" t="s">
        <v>337</v>
      </c>
      <c r="C847" s="112">
        <v>24.5</v>
      </c>
      <c r="D847" s="325">
        <v>0.8</v>
      </c>
      <c r="E847" s="326">
        <v>1</v>
      </c>
      <c r="F847" s="108">
        <f t="shared" si="32"/>
        <v>39.2</v>
      </c>
      <c r="G847" s="94"/>
    </row>
    <row r="848" spans="1:7" ht="13.5" thickBot="1">
      <c r="A848" s="33"/>
      <c r="B848" s="45"/>
      <c r="C848" s="50"/>
      <c r="D848" s="50"/>
      <c r="E848" s="202" t="s">
        <v>2</v>
      </c>
      <c r="F848" s="212">
        <f>SUM(F834:F847)</f>
        <v>75.44</v>
      </c>
      <c r="G848" s="94"/>
    </row>
    <row r="849" spans="1:7" ht="13.5" thickBot="1">
      <c r="A849" s="33"/>
      <c r="B849" s="45"/>
      <c r="C849" s="50"/>
      <c r="D849" s="50"/>
      <c r="E849" s="481"/>
      <c r="F849" s="37"/>
      <c r="G849" s="327"/>
    </row>
    <row r="850" spans="1:7" ht="13.5" thickBot="1">
      <c r="A850" s="80" t="s">
        <v>431</v>
      </c>
      <c r="B850" s="545" t="str">
        <f>Planilha!C83</f>
        <v>PINTURA ESMALTE EM ESQUADRIAS DE FERRO, DUAS (2) DEMÃOS, INCLUSIVE UMA (1) DEMÃO DE FUNDO ANTICORROSIVO</v>
      </c>
      <c r="C850" s="546"/>
      <c r="D850" s="546"/>
      <c r="E850" s="547"/>
      <c r="F850" s="81">
        <f>F871</f>
        <v>57.84</v>
      </c>
      <c r="G850" s="80" t="s">
        <v>107</v>
      </c>
    </row>
    <row r="851" spans="1:7" ht="12.75">
      <c r="A851" s="477"/>
      <c r="B851" s="34"/>
      <c r="C851" s="34"/>
      <c r="D851" s="34"/>
      <c r="E851" s="45"/>
      <c r="F851" s="481"/>
      <c r="G851" s="278"/>
    </row>
    <row r="852" spans="1:7" ht="12.75">
      <c r="A852" s="477"/>
      <c r="B852" s="114" t="s">
        <v>20</v>
      </c>
      <c r="C852" s="114" t="s">
        <v>21</v>
      </c>
      <c r="D852" s="114" t="s">
        <v>22</v>
      </c>
      <c r="E852" s="114" t="s">
        <v>24</v>
      </c>
      <c r="F852" s="114" t="s">
        <v>23</v>
      </c>
      <c r="G852" s="250"/>
    </row>
    <row r="853" spans="1:7" ht="12.75">
      <c r="A853" s="477"/>
      <c r="B853" s="106" t="s">
        <v>226</v>
      </c>
      <c r="C853" s="108">
        <v>1.4</v>
      </c>
      <c r="D853" s="108">
        <v>1.2</v>
      </c>
      <c r="E853" s="108">
        <v>1</v>
      </c>
      <c r="F853" s="108">
        <f>(C853*D853*E853)*2</f>
        <v>3.36</v>
      </c>
      <c r="G853" s="250"/>
    </row>
    <row r="854" spans="1:7" ht="12.75">
      <c r="A854" s="477"/>
      <c r="B854" s="106" t="s">
        <v>229</v>
      </c>
      <c r="C854" s="108">
        <v>1.4</v>
      </c>
      <c r="D854" s="108">
        <v>1.2</v>
      </c>
      <c r="E854" s="108">
        <v>1</v>
      </c>
      <c r="F854" s="108">
        <f aca="true" t="shared" si="33" ref="F854:F870">(C854*D854*E854)*2</f>
        <v>3.36</v>
      </c>
      <c r="G854" s="250"/>
    </row>
    <row r="855" spans="1:7" ht="12.75">
      <c r="A855" s="477"/>
      <c r="B855" s="92" t="s">
        <v>537</v>
      </c>
      <c r="C855" s="108">
        <v>1.4</v>
      </c>
      <c r="D855" s="108">
        <v>1.2</v>
      </c>
      <c r="E855" s="108">
        <v>1</v>
      </c>
      <c r="F855" s="108">
        <f t="shared" si="33"/>
        <v>3.36</v>
      </c>
      <c r="G855" s="250"/>
    </row>
    <row r="856" spans="1:7" ht="12.75">
      <c r="A856" s="477"/>
      <c r="B856" s="106" t="s">
        <v>239</v>
      </c>
      <c r="C856" s="108">
        <v>1.4</v>
      </c>
      <c r="D856" s="108">
        <v>1.2</v>
      </c>
      <c r="E856" s="108">
        <v>1</v>
      </c>
      <c r="F856" s="108">
        <f t="shared" si="33"/>
        <v>3.36</v>
      </c>
      <c r="G856" s="250"/>
    </row>
    <row r="857" spans="1:7" ht="16.5" customHeight="1">
      <c r="A857" s="341"/>
      <c r="B857" s="333" t="s">
        <v>291</v>
      </c>
      <c r="C857" s="267">
        <v>1</v>
      </c>
      <c r="D857" s="267">
        <v>0.6</v>
      </c>
      <c r="E857" s="342">
        <v>1</v>
      </c>
      <c r="F857" s="108">
        <f t="shared" si="33"/>
        <v>1.2</v>
      </c>
      <c r="G857" s="343"/>
    </row>
    <row r="858" spans="1:7" ht="16.5" customHeight="1">
      <c r="A858" s="341"/>
      <c r="B858" s="333" t="s">
        <v>292</v>
      </c>
      <c r="C858" s="267">
        <v>1</v>
      </c>
      <c r="D858" s="267">
        <v>0.6</v>
      </c>
      <c r="E858" s="267">
        <v>1</v>
      </c>
      <c r="F858" s="108">
        <f t="shared" si="33"/>
        <v>1.2</v>
      </c>
      <c r="G858" s="343"/>
    </row>
    <row r="859" spans="1:7" ht="12.75">
      <c r="A859" s="477"/>
      <c r="B859" s="92" t="s">
        <v>224</v>
      </c>
      <c r="C859" s="112">
        <v>1.4</v>
      </c>
      <c r="D859" s="112">
        <v>1.2</v>
      </c>
      <c r="E859" s="108">
        <v>1</v>
      </c>
      <c r="F859" s="108">
        <f t="shared" si="33"/>
        <v>3.36</v>
      </c>
      <c r="G859" s="250"/>
    </row>
    <row r="860" spans="1:7" ht="12.75">
      <c r="A860" s="477"/>
      <c r="B860" s="92" t="s">
        <v>530</v>
      </c>
      <c r="C860" s="112">
        <v>1</v>
      </c>
      <c r="D860" s="112">
        <v>0.6</v>
      </c>
      <c r="E860" s="108">
        <v>1</v>
      </c>
      <c r="F860" s="108">
        <f t="shared" si="33"/>
        <v>1.2</v>
      </c>
      <c r="G860" s="250"/>
    </row>
    <row r="861" spans="1:7" ht="12.75">
      <c r="A861" s="341"/>
      <c r="B861" s="213" t="s">
        <v>221</v>
      </c>
      <c r="C861" s="253">
        <v>1</v>
      </c>
      <c r="D861" s="253">
        <v>0.6</v>
      </c>
      <c r="E861" s="267">
        <v>1</v>
      </c>
      <c r="F861" s="108">
        <f t="shared" si="33"/>
        <v>1.2</v>
      </c>
      <c r="G861" s="343"/>
    </row>
    <row r="862" spans="1:7" ht="12.75">
      <c r="A862" s="477"/>
      <c r="B862" s="92" t="s">
        <v>232</v>
      </c>
      <c r="C862" s="112">
        <v>1.4</v>
      </c>
      <c r="D862" s="112">
        <v>1.2</v>
      </c>
      <c r="E862" s="108">
        <v>1</v>
      </c>
      <c r="F862" s="108">
        <f t="shared" si="33"/>
        <v>3.36</v>
      </c>
      <c r="G862" s="250"/>
    </row>
    <row r="863" spans="1:7" ht="12.75">
      <c r="A863" s="477"/>
      <c r="B863" s="92" t="s">
        <v>225</v>
      </c>
      <c r="C863" s="112">
        <v>1.4</v>
      </c>
      <c r="D863" s="112">
        <v>1.2</v>
      </c>
      <c r="E863" s="108">
        <v>1</v>
      </c>
      <c r="F863" s="108">
        <f t="shared" si="33"/>
        <v>3.36</v>
      </c>
      <c r="G863" s="250"/>
    </row>
    <row r="864" spans="1:7" ht="12.75">
      <c r="A864" s="477"/>
      <c r="B864" s="92" t="s">
        <v>536</v>
      </c>
      <c r="C864" s="112">
        <v>1</v>
      </c>
      <c r="D864" s="112">
        <v>0.6</v>
      </c>
      <c r="E864" s="108">
        <v>1</v>
      </c>
      <c r="F864" s="108">
        <f t="shared" si="33"/>
        <v>1.2</v>
      </c>
      <c r="G864" s="250"/>
    </row>
    <row r="865" spans="1:9" ht="12.75">
      <c r="A865" s="477"/>
      <c r="B865" s="92" t="s">
        <v>275</v>
      </c>
      <c r="C865" s="112">
        <v>1</v>
      </c>
      <c r="D865" s="112">
        <v>0.6</v>
      </c>
      <c r="E865" s="108">
        <v>2</v>
      </c>
      <c r="F865" s="108">
        <f t="shared" si="33"/>
        <v>2.4</v>
      </c>
      <c r="G865" s="250"/>
      <c r="I865" t="s">
        <v>36</v>
      </c>
    </row>
    <row r="866" spans="1:7" ht="12.75">
      <c r="A866" s="477"/>
      <c r="B866" s="92" t="s">
        <v>223</v>
      </c>
      <c r="C866" s="112">
        <v>1.4</v>
      </c>
      <c r="D866" s="112">
        <v>1.2</v>
      </c>
      <c r="E866" s="108">
        <v>1</v>
      </c>
      <c r="F866" s="108">
        <f t="shared" si="33"/>
        <v>3.36</v>
      </c>
      <c r="G866" s="250"/>
    </row>
    <row r="867" spans="1:7" ht="12.75">
      <c r="A867" s="477"/>
      <c r="B867" s="86" t="s">
        <v>270</v>
      </c>
      <c r="C867" s="211">
        <v>1</v>
      </c>
      <c r="D867" s="211">
        <v>0.6</v>
      </c>
      <c r="E867" s="108">
        <v>1</v>
      </c>
      <c r="F867" s="108">
        <f t="shared" si="33"/>
        <v>1.2</v>
      </c>
      <c r="G867" s="250"/>
    </row>
    <row r="868" spans="1:7" ht="12.75">
      <c r="A868" s="341"/>
      <c r="B868" s="213" t="s">
        <v>287</v>
      </c>
      <c r="C868" s="253">
        <v>1</v>
      </c>
      <c r="D868" s="253">
        <v>0.6</v>
      </c>
      <c r="E868" s="267">
        <v>1</v>
      </c>
      <c r="F868" s="108">
        <f t="shared" si="33"/>
        <v>1.2</v>
      </c>
      <c r="G868" s="343"/>
    </row>
    <row r="869" spans="1:7" ht="12.75">
      <c r="A869" s="477"/>
      <c r="B869" s="92" t="s">
        <v>274</v>
      </c>
      <c r="C869" s="112">
        <v>1.4</v>
      </c>
      <c r="D869" s="112">
        <v>1.2</v>
      </c>
      <c r="E869" s="108">
        <v>1</v>
      </c>
      <c r="F869" s="108">
        <f t="shared" si="33"/>
        <v>3.36</v>
      </c>
      <c r="G869" s="250"/>
    </row>
    <row r="870" spans="1:7" ht="13.5" thickBot="1">
      <c r="A870" s="477"/>
      <c r="B870" s="106" t="s">
        <v>311</v>
      </c>
      <c r="C870" s="112">
        <v>1.4</v>
      </c>
      <c r="D870" s="430">
        <v>1.2</v>
      </c>
      <c r="E870" s="326">
        <v>5</v>
      </c>
      <c r="F870" s="108">
        <f t="shared" si="33"/>
        <v>16.8</v>
      </c>
      <c r="G870" s="250"/>
    </row>
    <row r="871" spans="1:7" ht="13.5" thickBot="1">
      <c r="A871" s="477"/>
      <c r="B871" s="45"/>
      <c r="C871" s="50"/>
      <c r="D871" s="50"/>
      <c r="E871" s="202" t="s">
        <v>2</v>
      </c>
      <c r="F871" s="212">
        <f>SUM(F853:F870)</f>
        <v>57.84</v>
      </c>
      <c r="G871" s="250"/>
    </row>
    <row r="872" spans="1:7" ht="13.5" thickBot="1">
      <c r="A872" s="477"/>
      <c r="B872" s="34"/>
      <c r="C872" s="34"/>
      <c r="D872" s="34"/>
      <c r="E872" s="45"/>
      <c r="F872" s="481"/>
      <c r="G872" s="250"/>
    </row>
    <row r="873" spans="1:11" ht="13.5" thickBot="1">
      <c r="A873" s="80" t="s">
        <v>432</v>
      </c>
      <c r="B873" s="545" t="str">
        <f>Planilha!C84</f>
        <v>PINTURA ESMALTE SINTÉTICO EM SUPERFÍCIES GALVANIZADAS, DUAS (2) DEMÃOS, INCLUSIVE UMA (1) DEMÃO DE FUNDO ANTICORROSIVO</v>
      </c>
      <c r="C873" s="546"/>
      <c r="D873" s="546"/>
      <c r="E873" s="547"/>
      <c r="F873" s="81">
        <f>F879</f>
        <v>46.3</v>
      </c>
      <c r="G873" s="80" t="s">
        <v>107</v>
      </c>
      <c r="K873" s="288"/>
    </row>
    <row r="874" spans="1:7" ht="12.75">
      <c r="A874" s="477"/>
      <c r="B874" s="34"/>
      <c r="C874" s="34"/>
      <c r="D874" s="34"/>
      <c r="E874" s="45"/>
      <c r="F874" s="481"/>
      <c r="G874" s="250"/>
    </row>
    <row r="875" spans="1:7" ht="12.75">
      <c r="A875" s="477"/>
      <c r="B875" s="334" t="s">
        <v>20</v>
      </c>
      <c r="C875" s="334" t="s">
        <v>21</v>
      </c>
      <c r="D875" s="334" t="s">
        <v>22</v>
      </c>
      <c r="E875" s="334" t="s">
        <v>24</v>
      </c>
      <c r="F875" s="334" t="s">
        <v>23</v>
      </c>
      <c r="G875" s="250"/>
    </row>
    <row r="876" spans="1:7" ht="12.75">
      <c r="A876" s="477"/>
      <c r="B876" s="333" t="s">
        <v>364</v>
      </c>
      <c r="C876" s="267">
        <v>25</v>
      </c>
      <c r="D876" s="267">
        <v>0.8</v>
      </c>
      <c r="E876" s="267">
        <v>1</v>
      </c>
      <c r="F876" s="267">
        <f>(C876*D876*E876)</f>
        <v>20</v>
      </c>
      <c r="G876" s="250"/>
    </row>
    <row r="877" spans="1:7" ht="16.5" customHeight="1" thickBot="1">
      <c r="A877" s="477"/>
      <c r="B877" s="333" t="s">
        <v>463</v>
      </c>
      <c r="C877" s="267">
        <v>1.5</v>
      </c>
      <c r="D877" s="267">
        <v>2.1</v>
      </c>
      <c r="E877" s="267">
        <v>1</v>
      </c>
      <c r="F877" s="267">
        <f>(C877*D877*E877)</f>
        <v>3.15</v>
      </c>
      <c r="G877" s="250"/>
    </row>
    <row r="878" spans="1:7" s="206" customFormat="1" ht="13.5" thickBot="1">
      <c r="A878" s="477"/>
      <c r="B878" s="45"/>
      <c r="C878" s="50"/>
      <c r="D878" s="50"/>
      <c r="E878" s="202" t="s">
        <v>69</v>
      </c>
      <c r="F878" s="212">
        <f>SUM(F876:F877)</f>
        <v>23.15</v>
      </c>
      <c r="G878" s="250"/>
    </row>
    <row r="879" spans="1:7" s="206" customFormat="1" ht="13.5" thickBot="1">
      <c r="A879" s="477"/>
      <c r="B879" s="45"/>
      <c r="C879" s="50"/>
      <c r="D879" s="50"/>
      <c r="E879" s="202" t="s">
        <v>2</v>
      </c>
      <c r="F879" s="212">
        <f>F878*2</f>
        <v>46.3</v>
      </c>
      <c r="G879" s="250"/>
    </row>
    <row r="880" spans="1:7" ht="16.5" customHeight="1">
      <c r="A880" s="477"/>
      <c r="B880" s="45"/>
      <c r="C880" s="50"/>
      <c r="D880" s="50"/>
      <c r="E880" s="481"/>
      <c r="F880" s="37"/>
      <c r="G880" s="250"/>
    </row>
    <row r="881" spans="1:7" ht="13.5" thickBot="1">
      <c r="A881" s="477"/>
      <c r="B881" s="45"/>
      <c r="C881" s="50"/>
      <c r="D881" s="50"/>
      <c r="E881" s="481"/>
      <c r="F881" s="37"/>
      <c r="G881" s="250"/>
    </row>
    <row r="882" spans="1:7" s="206" customFormat="1" ht="13.5" thickBot="1">
      <c r="A882" s="80" t="s">
        <v>433</v>
      </c>
      <c r="B882" s="545" t="str">
        <f>Planilha!C85</f>
        <v>PINTURA ANTICORROSIVA A BASE DE ÓXIDO DE FERRO (ZARCÃO) EM ESQUADRIA E SUPERFÍCIE METÁLICA, UMA (1) DEMÃO</v>
      </c>
      <c r="C882" s="546"/>
      <c r="D882" s="546"/>
      <c r="E882" s="547"/>
      <c r="F882" s="81">
        <f>F893</f>
        <v>32.16</v>
      </c>
      <c r="G882" s="80" t="s">
        <v>107</v>
      </c>
    </row>
    <row r="883" spans="1:7" ht="12.75">
      <c r="A883" s="477"/>
      <c r="B883" s="45"/>
      <c r="C883" s="50"/>
      <c r="D883" s="50"/>
      <c r="E883" s="481"/>
      <c r="F883" s="37"/>
      <c r="G883" s="250"/>
    </row>
    <row r="884" spans="1:7" ht="12.75">
      <c r="A884" s="477"/>
      <c r="B884" s="334" t="s">
        <v>20</v>
      </c>
      <c r="C884" s="334" t="s">
        <v>21</v>
      </c>
      <c r="D884" s="334" t="s">
        <v>22</v>
      </c>
      <c r="E884" s="334" t="s">
        <v>24</v>
      </c>
      <c r="F884" s="334" t="s">
        <v>23</v>
      </c>
      <c r="G884" s="250"/>
    </row>
    <row r="885" spans="1:7" ht="12.75">
      <c r="A885" s="477"/>
      <c r="B885" s="92" t="s">
        <v>366</v>
      </c>
      <c r="C885" s="254">
        <v>1</v>
      </c>
      <c r="D885" s="103">
        <v>0.6</v>
      </c>
      <c r="E885" s="350">
        <v>1</v>
      </c>
      <c r="F885" s="112">
        <f>C885*D885*E885</f>
        <v>0.6</v>
      </c>
      <c r="G885" s="250"/>
    </row>
    <row r="886" spans="1:7" ht="12.75">
      <c r="A886" s="477"/>
      <c r="B886" s="92" t="s">
        <v>292</v>
      </c>
      <c r="C886" s="254">
        <v>1</v>
      </c>
      <c r="D886" s="103">
        <v>0.6</v>
      </c>
      <c r="E886" s="350">
        <v>1</v>
      </c>
      <c r="F886" s="112">
        <f aca="true" t="shared" si="34" ref="F886:F891">C886*D886*E886</f>
        <v>0.6</v>
      </c>
      <c r="G886" s="250"/>
    </row>
    <row r="887" spans="1:7" ht="12.75">
      <c r="A887" s="477"/>
      <c r="B887" s="92" t="s">
        <v>221</v>
      </c>
      <c r="C887" s="254">
        <v>1</v>
      </c>
      <c r="D887" s="103">
        <v>0.6</v>
      </c>
      <c r="E887" s="350">
        <v>1</v>
      </c>
      <c r="F887" s="112">
        <f t="shared" si="34"/>
        <v>0.6</v>
      </c>
      <c r="G887" s="250"/>
    </row>
    <row r="888" spans="1:7" s="206" customFormat="1" ht="12.75">
      <c r="A888" s="477"/>
      <c r="B888" s="92" t="s">
        <v>464</v>
      </c>
      <c r="C888" s="254">
        <v>1.4</v>
      </c>
      <c r="D888" s="103">
        <v>1.2</v>
      </c>
      <c r="E888" s="350">
        <v>1</v>
      </c>
      <c r="F888" s="112">
        <f t="shared" si="34"/>
        <v>1.68</v>
      </c>
      <c r="G888" s="250"/>
    </row>
    <row r="889" spans="1:7" ht="12.75">
      <c r="A889" s="477"/>
      <c r="B889" s="92" t="s">
        <v>232</v>
      </c>
      <c r="C889" s="254">
        <v>1.4</v>
      </c>
      <c r="D889" s="103">
        <v>1.2</v>
      </c>
      <c r="E889" s="350">
        <v>1</v>
      </c>
      <c r="F889" s="112">
        <f t="shared" si="34"/>
        <v>1.68</v>
      </c>
      <c r="G889" s="250"/>
    </row>
    <row r="890" spans="1:7" ht="12.75">
      <c r="A890" s="477"/>
      <c r="B890" s="92" t="s">
        <v>367</v>
      </c>
      <c r="C890" s="103">
        <v>1.2</v>
      </c>
      <c r="D890" s="103">
        <v>2.1</v>
      </c>
      <c r="E890" s="350">
        <v>1</v>
      </c>
      <c r="F890" s="112">
        <f t="shared" si="34"/>
        <v>2.52</v>
      </c>
      <c r="G890" s="250"/>
    </row>
    <row r="891" spans="1:7" ht="12.75">
      <c r="A891" s="477"/>
      <c r="B891" s="92" t="s">
        <v>311</v>
      </c>
      <c r="C891" s="254">
        <v>1.4</v>
      </c>
      <c r="D891" s="103">
        <v>1.2</v>
      </c>
      <c r="E891" s="350">
        <v>5</v>
      </c>
      <c r="F891" s="112">
        <f t="shared" si="34"/>
        <v>8.4</v>
      </c>
      <c r="G891" s="250"/>
    </row>
    <row r="892" spans="1:7" ht="13.5" thickBot="1">
      <c r="A892" s="477"/>
      <c r="B892" s="45"/>
      <c r="C892" s="50"/>
      <c r="D892" s="50"/>
      <c r="E892" s="384" t="s">
        <v>69</v>
      </c>
      <c r="F892" s="381">
        <f>SUM(F885:F891)</f>
        <v>16.08</v>
      </c>
      <c r="G892" s="250"/>
    </row>
    <row r="893" spans="1:7" ht="13.5" thickBot="1">
      <c r="A893" s="477"/>
      <c r="B893" s="45"/>
      <c r="C893" s="50"/>
      <c r="D893" s="50"/>
      <c r="E893" s="351" t="s">
        <v>2</v>
      </c>
      <c r="F893" s="212">
        <f>F892*2</f>
        <v>32.16</v>
      </c>
      <c r="G893" s="250"/>
    </row>
    <row r="894" spans="1:7" ht="13.5" thickBot="1">
      <c r="A894" s="477"/>
      <c r="B894" s="34"/>
      <c r="C894" s="34"/>
      <c r="D894" s="34"/>
      <c r="E894" s="45"/>
      <c r="F894" s="481"/>
      <c r="G894" s="250"/>
    </row>
    <row r="895" spans="1:7" ht="13.5" thickBot="1">
      <c r="A895" s="79">
        <v>11</v>
      </c>
      <c r="B895" s="562" t="s">
        <v>68</v>
      </c>
      <c r="C895" s="563"/>
      <c r="D895" s="563"/>
      <c r="E895" s="563"/>
      <c r="F895" s="563"/>
      <c r="G895" s="575"/>
    </row>
    <row r="896" spans="1:7" ht="13.5" thickBot="1">
      <c r="A896" s="54"/>
      <c r="B896" s="34"/>
      <c r="C896" s="34"/>
      <c r="D896" s="34"/>
      <c r="E896" s="481"/>
      <c r="F896" s="37"/>
      <c r="G896" s="55"/>
    </row>
    <row r="897" spans="1:7" ht="13.5" thickBot="1">
      <c r="A897" s="80" t="s">
        <v>57</v>
      </c>
      <c r="B897" s="545" t="s">
        <v>65</v>
      </c>
      <c r="C897" s="546"/>
      <c r="D897" s="546"/>
      <c r="E897" s="547"/>
      <c r="F897" s="81">
        <f>F902</f>
        <v>5</v>
      </c>
      <c r="G897" s="80" t="s">
        <v>106</v>
      </c>
    </row>
    <row r="898" spans="1:7" ht="12.75">
      <c r="A898" s="201"/>
      <c r="B898" s="34"/>
      <c r="C898" s="34"/>
      <c r="D898" s="34"/>
      <c r="E898" s="45"/>
      <c r="F898" s="52"/>
      <c r="G898" s="35"/>
    </row>
    <row r="899" spans="1:7" ht="12.75">
      <c r="A899" s="201"/>
      <c r="B899" s="52"/>
      <c r="C899" s="50"/>
      <c r="D899" s="50"/>
      <c r="E899" s="114" t="s">
        <v>20</v>
      </c>
      <c r="F899" s="198" t="s">
        <v>24</v>
      </c>
      <c r="G899" s="55"/>
    </row>
    <row r="900" spans="1:7" ht="12.75">
      <c r="A900" s="431"/>
      <c r="B900" s="52"/>
      <c r="C900" s="49"/>
      <c r="D900" s="51"/>
      <c r="E900" s="263" t="s">
        <v>343</v>
      </c>
      <c r="F900" s="265">
        <v>1</v>
      </c>
      <c r="G900" s="55"/>
    </row>
    <row r="901" spans="1:7" ht="12.75">
      <c r="A901" s="431"/>
      <c r="B901" s="52"/>
      <c r="C901" s="49"/>
      <c r="D901" s="51"/>
      <c r="E901" s="263" t="s">
        <v>66</v>
      </c>
      <c r="F901" s="265">
        <v>4</v>
      </c>
      <c r="G901" s="55"/>
    </row>
    <row r="902" spans="1:7" ht="12.75">
      <c r="A902" s="431"/>
      <c r="B902" s="52"/>
      <c r="C902" s="49"/>
      <c r="D902" s="51"/>
      <c r="E902" s="114" t="s">
        <v>2</v>
      </c>
      <c r="F902" s="115">
        <f>SUM(F900:F901)</f>
        <v>5</v>
      </c>
      <c r="G902" s="55"/>
    </row>
    <row r="903" spans="1:7" ht="13.5" thickBot="1">
      <c r="A903" s="431"/>
      <c r="B903" s="52"/>
      <c r="C903" s="49"/>
      <c r="D903" s="51"/>
      <c r="E903" s="261"/>
      <c r="F903" s="262"/>
      <c r="G903" s="55"/>
    </row>
    <row r="904" spans="1:7" ht="13.5" thickBot="1">
      <c r="A904" s="80" t="s">
        <v>58</v>
      </c>
      <c r="B904" s="545" t="str">
        <f>Planilha!C88</f>
        <v>(COMPOSIÇÃO REPRESENTATIVA) DO SERVIÇO DE INSTALAÇÃO DE TUBOS DE PVC SOLDÁVEL, ÁGUA FRIA, DN 50 MM (INSTALADO EM PRUMADA), INCLUSIVE CONEXÕES, CORTES E FIXAÇÕES, PARA PRÉDIOS. AF_10/2015</v>
      </c>
      <c r="C904" s="546"/>
      <c r="D904" s="546"/>
      <c r="E904" s="547"/>
      <c r="F904" s="81">
        <f>F909</f>
        <v>9</v>
      </c>
      <c r="G904" s="80" t="s">
        <v>19</v>
      </c>
    </row>
    <row r="905" spans="1:7" ht="12.75">
      <c r="A905" s="33"/>
      <c r="B905" s="34"/>
      <c r="C905" s="34"/>
      <c r="D905" s="481"/>
      <c r="E905" s="37"/>
      <c r="F905" s="34"/>
      <c r="G905" s="35"/>
    </row>
    <row r="906" spans="1:7" ht="12.75">
      <c r="A906" s="33"/>
      <c r="B906" s="34"/>
      <c r="C906" s="34"/>
      <c r="D906" s="481"/>
      <c r="E906" s="114" t="s">
        <v>20</v>
      </c>
      <c r="F906" s="198" t="s">
        <v>388</v>
      </c>
      <c r="G906" s="35"/>
    </row>
    <row r="907" spans="1:7" ht="12.75">
      <c r="A907" s="33"/>
      <c r="B907" s="34"/>
      <c r="C907" s="34"/>
      <c r="D907" s="481"/>
      <c r="E907" s="106" t="s">
        <v>273</v>
      </c>
      <c r="F907" s="265">
        <v>6</v>
      </c>
      <c r="G907" s="35"/>
    </row>
    <row r="908" spans="1:7" ht="13.5" thickBot="1">
      <c r="A908" s="33"/>
      <c r="B908" s="34"/>
      <c r="C908" s="34"/>
      <c r="D908" s="481"/>
      <c r="E908" s="106" t="s">
        <v>221</v>
      </c>
      <c r="F908" s="113">
        <v>3</v>
      </c>
      <c r="G908" s="35"/>
    </row>
    <row r="909" spans="1:7" ht="13.5" thickBot="1">
      <c r="A909" s="54"/>
      <c r="B909" s="34"/>
      <c r="C909" s="34"/>
      <c r="D909" s="34"/>
      <c r="E909" s="352" t="s">
        <v>2</v>
      </c>
      <c r="F909" s="280">
        <f>SUM(F907:F908)</f>
        <v>9</v>
      </c>
      <c r="G909" s="35"/>
    </row>
    <row r="910" spans="1:7" ht="13.5" thickBot="1">
      <c r="A910" s="54"/>
      <c r="B910" s="34"/>
      <c r="C910" s="34"/>
      <c r="D910" s="34"/>
      <c r="E910" s="320"/>
      <c r="F910" s="346"/>
      <c r="G910" s="35"/>
    </row>
    <row r="911" spans="1:7" ht="13.5" thickBot="1">
      <c r="A911" s="80" t="s">
        <v>82</v>
      </c>
      <c r="B911" s="545" t="str">
        <f>Planilha!C89</f>
        <v>PONTO DE EMBUTIR PARA ESGOTO EM TUBO PVC RÍGIDO, PB SÉRIE NORMAL, DN 40MM (1.1/2"), EMBUTIDO NA ALVENARIA/PISO, COM ALTURA (SAÍDA) DE 50CM DO PISO, COM DISTÂNCIA DE ATÉ CINCO (5) METROS DA RAMAL DE ESGOTO, EXCLUSIVE ESCAVAÇÃO, INCLUSIVE CONEXÕES E FIXAÇÃO DO TUBO COM ENCHIMENTO DO RASGO NA ALVENARIA/CONCRETO COM ARGAMASSA</v>
      </c>
      <c r="C911" s="546"/>
      <c r="D911" s="546"/>
      <c r="E911" s="547"/>
      <c r="F911" s="81">
        <f>F918</f>
        <v>6</v>
      </c>
      <c r="G911" s="80" t="s">
        <v>106</v>
      </c>
    </row>
    <row r="912" spans="1:7" ht="12.75">
      <c r="A912" s="54"/>
      <c r="B912" s="52"/>
      <c r="C912" s="49"/>
      <c r="D912" s="51"/>
      <c r="E912" s="261"/>
      <c r="F912" s="262"/>
      <c r="G912" s="55"/>
    </row>
    <row r="913" spans="1:7" ht="12.75">
      <c r="A913" s="54"/>
      <c r="B913" s="52"/>
      <c r="C913" s="49"/>
      <c r="D913" s="51"/>
      <c r="E913" s="114" t="s">
        <v>20</v>
      </c>
      <c r="F913" s="198" t="s">
        <v>24</v>
      </c>
      <c r="G913" s="55"/>
    </row>
    <row r="914" spans="1:7" ht="12.75">
      <c r="A914" s="54"/>
      <c r="B914" s="52"/>
      <c r="C914" s="49"/>
      <c r="D914" s="51"/>
      <c r="E914" s="263" t="s">
        <v>269</v>
      </c>
      <c r="F914" s="265">
        <v>2</v>
      </c>
      <c r="G914" s="55"/>
    </row>
    <row r="915" spans="1:7" ht="12.75">
      <c r="A915" s="54"/>
      <c r="B915" s="52"/>
      <c r="C915" s="49"/>
      <c r="D915" s="51"/>
      <c r="E915" s="263" t="s">
        <v>343</v>
      </c>
      <c r="F915" s="265">
        <v>2</v>
      </c>
      <c r="G915" s="55"/>
    </row>
    <row r="916" spans="1:7" ht="12.75">
      <c r="A916" s="54"/>
      <c r="B916" s="52"/>
      <c r="C916" s="49"/>
      <c r="D916" s="51"/>
      <c r="E916" s="263" t="s">
        <v>311</v>
      </c>
      <c r="F916" s="265">
        <v>1</v>
      </c>
      <c r="G916" s="55"/>
    </row>
    <row r="917" spans="1:7" ht="12.75">
      <c r="A917" s="54"/>
      <c r="B917" s="52"/>
      <c r="C917" s="49"/>
      <c r="D917" s="51"/>
      <c r="E917" s="263" t="s">
        <v>221</v>
      </c>
      <c r="F917" s="265">
        <v>1</v>
      </c>
      <c r="G917" s="55"/>
    </row>
    <row r="918" spans="1:7" ht="12.75">
      <c r="A918" s="54"/>
      <c r="B918" s="52"/>
      <c r="C918" s="49"/>
      <c r="D918" s="51"/>
      <c r="E918" s="114" t="s">
        <v>2</v>
      </c>
      <c r="F918" s="115">
        <f>SUM(F914:F917)</f>
        <v>6</v>
      </c>
      <c r="G918" s="55"/>
    </row>
    <row r="919" spans="1:7" ht="13.5" thickBot="1">
      <c r="A919" s="54"/>
      <c r="B919" s="52"/>
      <c r="C919" s="49"/>
      <c r="D919" s="51"/>
      <c r="E919" s="261"/>
      <c r="F919" s="262"/>
      <c r="G919" s="55"/>
    </row>
    <row r="920" spans="1:7" ht="13.5" thickBot="1">
      <c r="A920" s="80" t="s">
        <v>83</v>
      </c>
      <c r="B920" s="545" t="str">
        <f>Planilha!C90</f>
        <v>PONTO DE EMBUTIR PARA ESGOTO EM TUBO PVC RÍGIDO, PBV SÉRIE NORMAL, DN 100MM (4"), EMBUTIDO EM PISO COM DISTÂNCIA DE ATÉ CINCO (5) METROS DA RAMAL DE ESGOTO, INCLUSIVE CONEXÕES E FIXAÇÃO DO TUBO COM ENCHIMENTO DO RASGO NO CONCRETO COM ARGAMASSA</v>
      </c>
      <c r="C920" s="546"/>
      <c r="D920" s="546"/>
      <c r="E920" s="547"/>
      <c r="F920" s="81">
        <f>F927</f>
        <v>6</v>
      </c>
      <c r="G920" s="80" t="s">
        <v>106</v>
      </c>
    </row>
    <row r="921" spans="1:7" ht="12.75">
      <c r="A921" s="54"/>
      <c r="B921" s="52"/>
      <c r="C921" s="49"/>
      <c r="D921" s="51"/>
      <c r="E921" s="261"/>
      <c r="F921" s="262"/>
      <c r="G921" s="55"/>
    </row>
    <row r="922" spans="1:7" ht="12.75">
      <c r="A922" s="54"/>
      <c r="B922" s="52"/>
      <c r="C922" s="49"/>
      <c r="D922" s="51"/>
      <c r="E922" s="114" t="s">
        <v>20</v>
      </c>
      <c r="F922" s="198" t="s">
        <v>24</v>
      </c>
      <c r="G922" s="55"/>
    </row>
    <row r="923" spans="1:7" ht="12.75">
      <c r="A923" s="54"/>
      <c r="B923" s="52"/>
      <c r="C923" s="49"/>
      <c r="D923" s="51"/>
      <c r="E923" s="263" t="s">
        <v>269</v>
      </c>
      <c r="F923" s="265">
        <v>2</v>
      </c>
      <c r="G923" s="55"/>
    </row>
    <row r="924" spans="1:7" ht="12.75">
      <c r="A924" s="54"/>
      <c r="B924" s="52"/>
      <c r="C924" s="49"/>
      <c r="D924" s="51"/>
      <c r="E924" s="263" t="s">
        <v>221</v>
      </c>
      <c r="F924" s="265">
        <v>1</v>
      </c>
      <c r="G924" s="55"/>
    </row>
    <row r="925" spans="1:7" ht="12.75">
      <c r="A925" s="54"/>
      <c r="B925" s="52"/>
      <c r="C925" s="49"/>
      <c r="D925" s="51"/>
      <c r="E925" s="263" t="s">
        <v>343</v>
      </c>
      <c r="F925" s="265">
        <v>2</v>
      </c>
      <c r="G925" s="55"/>
    </row>
    <row r="926" spans="1:7" ht="12.75">
      <c r="A926" s="54"/>
      <c r="B926" s="52"/>
      <c r="C926" s="49"/>
      <c r="D926" s="51"/>
      <c r="E926" s="263" t="s">
        <v>390</v>
      </c>
      <c r="F926" s="265">
        <v>1</v>
      </c>
      <c r="G926" s="55"/>
    </row>
    <row r="927" spans="1:7" ht="12.75">
      <c r="A927" s="54"/>
      <c r="B927" s="52"/>
      <c r="C927" s="49"/>
      <c r="D927" s="51"/>
      <c r="E927" s="114" t="s">
        <v>2</v>
      </c>
      <c r="F927" s="115">
        <f>SUM(F923:F926)</f>
        <v>6</v>
      </c>
      <c r="G927" s="55"/>
    </row>
    <row r="928" spans="1:7" ht="12.75">
      <c r="A928" s="54"/>
      <c r="B928" s="52"/>
      <c r="C928" s="49"/>
      <c r="D928" s="51"/>
      <c r="E928" s="261"/>
      <c r="F928" s="262"/>
      <c r="G928" s="55"/>
    </row>
    <row r="929" spans="1:7" ht="13.5" thickBot="1">
      <c r="A929" s="54"/>
      <c r="B929" s="52"/>
      <c r="C929" s="49"/>
      <c r="D929" s="51"/>
      <c r="E929" s="261"/>
      <c r="F929" s="262"/>
      <c r="G929" s="55"/>
    </row>
    <row r="930" spans="1:7" ht="13.5" thickBot="1">
      <c r="A930" s="80" t="s">
        <v>136</v>
      </c>
      <c r="B930" s="545" t="str">
        <f>Planilha!C91</f>
        <v>CAIXA DE ESGOTO DE INSPEÇÃO/PASSAGEM EM ALVENARIA ( 30X30X40CM), REVESTIMENTO EM ARGAMASSA COM ADITIVO IMPERMEABILIZANTE, COM TAMPA DE CONCRETO, INCLUSIVE ESCAVAÇÃO, REATERRO E TRANSPORTE E RETIRADA DO MATERIAL ESCAVADO (EM CAÇAMBA)</v>
      </c>
      <c r="C930" s="546"/>
      <c r="D930" s="546"/>
      <c r="E930" s="547"/>
      <c r="F930" s="81">
        <f>F935</f>
        <v>3</v>
      </c>
      <c r="G930" s="80" t="s">
        <v>106</v>
      </c>
    </row>
    <row r="931" spans="1:7" ht="12.75">
      <c r="A931" s="54"/>
      <c r="B931" s="52"/>
      <c r="C931" s="49"/>
      <c r="D931" s="51"/>
      <c r="E931" s="261"/>
      <c r="F931" s="262"/>
      <c r="G931" s="55"/>
    </row>
    <row r="932" spans="1:7" ht="12.75">
      <c r="A932" s="54"/>
      <c r="B932" s="52"/>
      <c r="C932" s="49"/>
      <c r="D932" s="51"/>
      <c r="E932" s="114" t="s">
        <v>20</v>
      </c>
      <c r="F932" s="198" t="s">
        <v>24</v>
      </c>
      <c r="G932" s="55"/>
    </row>
    <row r="933" spans="1:7" ht="12.75">
      <c r="A933" s="54"/>
      <c r="B933" s="52"/>
      <c r="C933" s="49"/>
      <c r="D933" s="51"/>
      <c r="E933" s="263" t="s">
        <v>269</v>
      </c>
      <c r="F933" s="265">
        <v>2</v>
      </c>
      <c r="G933" s="55"/>
    </row>
    <row r="934" spans="1:7" ht="12.75">
      <c r="A934" s="54"/>
      <c r="B934" s="52"/>
      <c r="C934" s="49"/>
      <c r="D934" s="51"/>
      <c r="E934" s="263" t="s">
        <v>221</v>
      </c>
      <c r="F934" s="265">
        <v>1</v>
      </c>
      <c r="G934" s="55"/>
    </row>
    <row r="935" spans="1:7" ht="12.75">
      <c r="A935" s="54"/>
      <c r="B935" s="34"/>
      <c r="C935" s="34"/>
      <c r="D935" s="34"/>
      <c r="E935" s="114" t="s">
        <v>2</v>
      </c>
      <c r="F935" s="115">
        <f>SUM(F933:F934)</f>
        <v>3</v>
      </c>
      <c r="G935" s="55"/>
    </row>
    <row r="936" spans="1:7" ht="13.5" thickBot="1">
      <c r="A936" s="54"/>
      <c r="B936" s="34"/>
      <c r="C936" s="34"/>
      <c r="D936" s="34"/>
      <c r="E936" s="261"/>
      <c r="F936" s="262"/>
      <c r="G936" s="55"/>
    </row>
    <row r="937" spans="1:7" ht="13.5" thickBot="1">
      <c r="A937" s="79">
        <v>12</v>
      </c>
      <c r="B937" s="562" t="s">
        <v>43</v>
      </c>
      <c r="C937" s="563"/>
      <c r="D937" s="563"/>
      <c r="E937" s="563"/>
      <c r="F937" s="563"/>
      <c r="G937" s="82"/>
    </row>
    <row r="938" spans="1:7" ht="13.5" thickBot="1">
      <c r="A938" s="432"/>
      <c r="B938" s="34"/>
      <c r="C938" s="34"/>
      <c r="D938" s="34"/>
      <c r="E938" s="481"/>
      <c r="F938" s="37"/>
      <c r="G938" s="55"/>
    </row>
    <row r="939" spans="1:7" ht="12.75" customHeight="1" thickBot="1">
      <c r="A939" s="80" t="s">
        <v>84</v>
      </c>
      <c r="B939" s="545" t="s">
        <v>44</v>
      </c>
      <c r="C939" s="546"/>
      <c r="D939" s="546"/>
      <c r="E939" s="547"/>
      <c r="F939" s="81">
        <f>F945</f>
        <v>4</v>
      </c>
      <c r="G939" s="227" t="s">
        <v>106</v>
      </c>
    </row>
    <row r="940" spans="1:7" ht="12.75">
      <c r="A940" s="201"/>
      <c r="B940" s="34"/>
      <c r="C940" s="34"/>
      <c r="D940" s="34"/>
      <c r="E940" s="45"/>
      <c r="F940" s="52"/>
      <c r="G940" s="35"/>
    </row>
    <row r="941" spans="1:7" ht="12.75">
      <c r="A941" s="201"/>
      <c r="B941" s="52"/>
      <c r="C941" s="50"/>
      <c r="D941" s="50"/>
      <c r="E941" s="114" t="s">
        <v>20</v>
      </c>
      <c r="F941" s="198" t="s">
        <v>24</v>
      </c>
      <c r="G941" s="55"/>
    </row>
    <row r="942" spans="1:7" ht="12.75">
      <c r="A942" s="201"/>
      <c r="B942" s="52"/>
      <c r="C942" s="50"/>
      <c r="D942" s="50"/>
      <c r="E942" s="103" t="s">
        <v>530</v>
      </c>
      <c r="F942" s="112">
        <v>1</v>
      </c>
      <c r="G942" s="55"/>
    </row>
    <row r="943" spans="1:10" ht="12.75">
      <c r="A943" s="201"/>
      <c r="B943" s="52"/>
      <c r="C943" s="50"/>
      <c r="D943" s="50"/>
      <c r="E943" s="263" t="s">
        <v>536</v>
      </c>
      <c r="F943" s="211">
        <v>1</v>
      </c>
      <c r="G943" s="55"/>
      <c r="J943" s="52"/>
    </row>
    <row r="944" spans="1:7" ht="13.5" thickBot="1">
      <c r="A944" s="431"/>
      <c r="B944" s="52"/>
      <c r="C944" s="49"/>
      <c r="D944" s="51"/>
      <c r="E944" s="263" t="s">
        <v>62</v>
      </c>
      <c r="F944" s="265">
        <v>2</v>
      </c>
      <c r="G944" s="55"/>
    </row>
    <row r="945" spans="1:7" ht="13.5" thickBot="1">
      <c r="A945" s="431"/>
      <c r="B945" s="52"/>
      <c r="C945" s="49"/>
      <c r="D945" s="51"/>
      <c r="E945" s="281" t="s">
        <v>2</v>
      </c>
      <c r="F945" s="280">
        <f>SUM(F942:F944)</f>
        <v>4</v>
      </c>
      <c r="G945" s="55"/>
    </row>
    <row r="946" spans="1:7" ht="13.5" thickBot="1">
      <c r="A946" s="431"/>
      <c r="B946" s="52"/>
      <c r="C946" s="49"/>
      <c r="D946" s="51"/>
      <c r="E946" s="261"/>
      <c r="F946" s="262"/>
      <c r="G946" s="55"/>
    </row>
    <row r="947" spans="1:7" ht="13.5" thickBot="1">
      <c r="A947" s="80" t="s">
        <v>85</v>
      </c>
      <c r="B947" s="545" t="str">
        <f>Planilha!C96</f>
        <v>BACIA SANITÁRIA (VASO) DE LOUÇA CONVENCIONAL, ACESSÍVEL (PCR/PMR), COR BRANCA, COM INSTALAÇÃO DE SÓCULO NA BASE DA BACIA ACOMPANHANDO A PROJEÇÃO DA BASE, NÃO ULTRAPASSANDO ALTURA DE 5CM, ALTURA MÁXIMA DE 46CM (BACIA+ASSENTO), INCLUSIVE ACESSÓRIOS DE FIXAÇÃO/VEDAÇÃO, VÁLVULA DE DESCARGA METÁLICA COM ACIONAMENTO DUPLO, TUBO DE LIGAÇÃO DE LATÃO COM CANOPLA, FORNECIMENTO, INSTALAÇÃO E REJUNTAMENTO, EXCLUSIVE ASSENTO</v>
      </c>
      <c r="C947" s="546"/>
      <c r="D947" s="546"/>
      <c r="E947" s="547"/>
      <c r="F947" s="81">
        <f>F951</f>
        <v>1</v>
      </c>
      <c r="G947" s="227" t="s">
        <v>106</v>
      </c>
    </row>
    <row r="948" spans="1:7" ht="12.75">
      <c r="A948" s="54"/>
      <c r="B948" s="52"/>
      <c r="C948" s="49"/>
      <c r="D948" s="51"/>
      <c r="E948" s="261"/>
      <c r="F948" s="262"/>
      <c r="G948" s="55"/>
    </row>
    <row r="949" spans="1:7" ht="12.75">
      <c r="A949" s="54"/>
      <c r="B949" s="52"/>
      <c r="C949" s="49"/>
      <c r="D949" s="51"/>
      <c r="E949" s="114" t="s">
        <v>20</v>
      </c>
      <c r="F949" s="198" t="s">
        <v>24</v>
      </c>
      <c r="G949" s="55"/>
    </row>
    <row r="950" spans="1:7" ht="12.75">
      <c r="A950" s="54"/>
      <c r="B950" s="52"/>
      <c r="C950" s="49"/>
      <c r="D950" s="51"/>
      <c r="E950" s="103" t="s">
        <v>221</v>
      </c>
      <c r="F950" s="113">
        <v>1</v>
      </c>
      <c r="G950" s="55"/>
    </row>
    <row r="951" spans="1:7" ht="13.5" thickBot="1">
      <c r="A951" s="54"/>
      <c r="B951" s="52"/>
      <c r="C951" s="49"/>
      <c r="D951" s="51"/>
      <c r="E951" s="344" t="s">
        <v>2</v>
      </c>
      <c r="F951" s="345">
        <f>SUM(F950:F950)</f>
        <v>1</v>
      </c>
      <c r="G951" s="55"/>
    </row>
    <row r="952" spans="1:7" ht="13.5" thickBot="1">
      <c r="A952" s="54"/>
      <c r="B952" s="52"/>
      <c r="C952" s="49"/>
      <c r="D952" s="51"/>
      <c r="E952" s="261"/>
      <c r="F952" s="262"/>
      <c r="G952" s="55"/>
    </row>
    <row r="953" spans="1:7" ht="13.5" thickBot="1">
      <c r="A953" s="80" t="s">
        <v>86</v>
      </c>
      <c r="B953" s="545" t="str">
        <f>Planilha!C97</f>
        <v>BANCADA DE GRANITO CINZA POLIDO, DE 0,50 X 0,60 M, PARA LAVATÓRIO FORRNECIMENTO E INSTALAÇÃO. AF_01/2020</v>
      </c>
      <c r="C953" s="546"/>
      <c r="D953" s="546"/>
      <c r="E953" s="547"/>
      <c r="F953" s="81">
        <f>F960</f>
        <v>5</v>
      </c>
      <c r="G953" s="80" t="s">
        <v>106</v>
      </c>
    </row>
    <row r="954" spans="1:7" ht="12.75">
      <c r="A954" s="33"/>
      <c r="B954" s="34"/>
      <c r="C954" s="34"/>
      <c r="D954" s="34"/>
      <c r="E954" s="45"/>
      <c r="F954" s="52"/>
      <c r="G954" s="32"/>
    </row>
    <row r="955" spans="1:7" ht="12.75">
      <c r="A955" s="33"/>
      <c r="B955" s="52"/>
      <c r="C955" s="50"/>
      <c r="D955" s="50"/>
      <c r="E955" s="114" t="s">
        <v>20</v>
      </c>
      <c r="F955" s="198" t="s">
        <v>24</v>
      </c>
      <c r="G955" s="55"/>
    </row>
    <row r="956" spans="1:7" ht="12.75">
      <c r="A956" s="33"/>
      <c r="B956" s="52"/>
      <c r="C956" s="50"/>
      <c r="D956" s="50"/>
      <c r="E956" s="103" t="s">
        <v>221</v>
      </c>
      <c r="F956" s="112">
        <v>1</v>
      </c>
      <c r="G956" s="55"/>
    </row>
    <row r="957" spans="1:7" ht="12.75">
      <c r="A957" s="33"/>
      <c r="B957" s="52"/>
      <c r="C957" s="50"/>
      <c r="D957" s="50"/>
      <c r="E957" s="103" t="s">
        <v>61</v>
      </c>
      <c r="F957" s="112">
        <v>2</v>
      </c>
      <c r="G957" s="55"/>
    </row>
    <row r="958" spans="1:7" ht="12.75">
      <c r="A958" s="33"/>
      <c r="B958" s="52"/>
      <c r="C958" s="50"/>
      <c r="D958" s="50"/>
      <c r="E958" s="103" t="s">
        <v>530</v>
      </c>
      <c r="F958" s="211">
        <v>1</v>
      </c>
      <c r="G958" s="55"/>
    </row>
    <row r="959" spans="1:7" ht="13.5" thickBot="1">
      <c r="A959" s="33"/>
      <c r="B959" s="52"/>
      <c r="C959" s="50"/>
      <c r="D959" s="50"/>
      <c r="E959" s="263" t="s">
        <v>311</v>
      </c>
      <c r="F959" s="211">
        <v>1</v>
      </c>
      <c r="G959" s="55"/>
    </row>
    <row r="960" spans="1:7" ht="13.5" thickBot="1">
      <c r="A960" s="33"/>
      <c r="B960" s="52"/>
      <c r="C960" s="50"/>
      <c r="D960" s="50"/>
      <c r="E960" s="281" t="s">
        <v>2</v>
      </c>
      <c r="F960" s="280">
        <f>SUM(F956:F959)</f>
        <v>5</v>
      </c>
      <c r="G960" s="55"/>
    </row>
    <row r="961" spans="1:7" ht="13.5" thickBot="1">
      <c r="A961" s="33"/>
      <c r="B961" s="52"/>
      <c r="C961" s="50"/>
      <c r="D961" s="50"/>
      <c r="E961" s="261"/>
      <c r="F961" s="262"/>
      <c r="G961" s="55"/>
    </row>
    <row r="962" spans="1:7" ht="13.5" thickBot="1">
      <c r="A962" s="80" t="s">
        <v>434</v>
      </c>
      <c r="B962" s="545" t="str">
        <f>Planilha!C98</f>
        <v>CUBA DE LOUÇA BRANCA DE EMBUTIR, FORMATO OVAL,
INCLUSIVE VÁLVULA DE ESCOAMENTO DE METAL COM
ACABAMENTO CROMADO, SIFÃO DE METAL TIPO COPO COM
ACABAMENTO CROMADO, FORNECIMENTO E INSTALAÇÃO</v>
      </c>
      <c r="C962" s="546"/>
      <c r="D962" s="546"/>
      <c r="E962" s="547"/>
      <c r="F962" s="81">
        <f>F969</f>
        <v>5</v>
      </c>
      <c r="G962" s="80" t="s">
        <v>106</v>
      </c>
    </row>
    <row r="963" spans="1:7" ht="12.75">
      <c r="A963" s="33"/>
      <c r="B963" s="34"/>
      <c r="C963" s="34"/>
      <c r="D963" s="34"/>
      <c r="E963" s="45"/>
      <c r="F963" s="52"/>
      <c r="G963" s="32"/>
    </row>
    <row r="964" spans="1:7" ht="12.75">
      <c r="A964" s="33"/>
      <c r="B964" s="52"/>
      <c r="C964" s="50"/>
      <c r="D964" s="50"/>
      <c r="E964" s="114" t="s">
        <v>20</v>
      </c>
      <c r="F964" s="198" t="s">
        <v>24</v>
      </c>
      <c r="G964" s="55"/>
    </row>
    <row r="965" spans="1:7" ht="12.75">
      <c r="A965" s="33"/>
      <c r="B965" s="52"/>
      <c r="C965" s="50"/>
      <c r="D965" s="50"/>
      <c r="E965" s="103" t="s">
        <v>221</v>
      </c>
      <c r="F965" s="112">
        <v>1</v>
      </c>
      <c r="G965" s="55"/>
    </row>
    <row r="966" spans="1:7" ht="12.75">
      <c r="A966" s="33"/>
      <c r="B966" s="52"/>
      <c r="C966" s="50"/>
      <c r="D966" s="50"/>
      <c r="E966" s="103" t="s">
        <v>61</v>
      </c>
      <c r="F966" s="112">
        <v>2</v>
      </c>
      <c r="G966" s="55"/>
    </row>
    <row r="967" spans="1:7" ht="12.75">
      <c r="A967" s="33"/>
      <c r="B967" s="52"/>
      <c r="C967" s="50"/>
      <c r="D967" s="50"/>
      <c r="E967" s="103" t="s">
        <v>542</v>
      </c>
      <c r="F967" s="211">
        <v>1</v>
      </c>
      <c r="G967" s="55"/>
    </row>
    <row r="968" spans="1:7" ht="13.5" thickBot="1">
      <c r="A968" s="33"/>
      <c r="B968" s="52"/>
      <c r="C968" s="50"/>
      <c r="D968" s="50"/>
      <c r="E968" s="263" t="s">
        <v>311</v>
      </c>
      <c r="F968" s="211">
        <v>1</v>
      </c>
      <c r="G968" s="55"/>
    </row>
    <row r="969" spans="1:7" ht="13.5" thickBot="1">
      <c r="A969" s="33"/>
      <c r="B969" s="52"/>
      <c r="C969" s="50"/>
      <c r="D969" s="50"/>
      <c r="E969" s="281" t="s">
        <v>2</v>
      </c>
      <c r="F969" s="280">
        <f>SUM(F965:F968)</f>
        <v>5</v>
      </c>
      <c r="G969" s="55"/>
    </row>
    <row r="970" spans="1:7" ht="13.5" thickBot="1">
      <c r="A970" s="33"/>
      <c r="B970" s="52"/>
      <c r="C970" s="50"/>
      <c r="D970" s="50"/>
      <c r="E970" s="261"/>
      <c r="F970" s="262"/>
      <c r="G970" s="55"/>
    </row>
    <row r="971" spans="1:7" ht="13.5" thickBot="1">
      <c r="A971" s="80" t="s">
        <v>435</v>
      </c>
      <c r="B971" s="545" t="str">
        <f>Planilha!C99</f>
        <v>TANQUE DE MÁRMORE SINTÉTICO DUPLO, CAPACIDADE 37 LITROS, INCLUSIVE ACESSÓRIOS DE FIXAÇÃO, VÁLVULA DE ESCOAMENTO DE METAL COM ACABAMENTO CROMADO, SIFÃO DE METAL TIPO COPO COM ACABAMENTO CROMADO, FORNECIMENTO E INSTALAÇÃO, EXCLUSIVE TORNEIRA</v>
      </c>
      <c r="C971" s="546"/>
      <c r="D971" s="546"/>
      <c r="E971" s="547"/>
      <c r="F971" s="81">
        <f>F975</f>
        <v>1</v>
      </c>
      <c r="G971" s="227" t="s">
        <v>106</v>
      </c>
    </row>
    <row r="972" spans="1:7" ht="12.75">
      <c r="A972" s="33"/>
      <c r="B972" s="52"/>
      <c r="C972" s="50"/>
      <c r="D972" s="50"/>
      <c r="E972" s="261"/>
      <c r="F972" s="262"/>
      <c r="G972" s="55"/>
    </row>
    <row r="973" spans="1:7" ht="12.75">
      <c r="A973" s="33"/>
      <c r="B973" s="52"/>
      <c r="C973" s="50"/>
      <c r="D973" s="50"/>
      <c r="E973" s="114" t="s">
        <v>20</v>
      </c>
      <c r="F973" s="198" t="s">
        <v>24</v>
      </c>
      <c r="G973" s="55"/>
    </row>
    <row r="974" spans="1:7" ht="13.5" thickBot="1">
      <c r="A974" s="33"/>
      <c r="B974" s="52"/>
      <c r="C974" s="50"/>
      <c r="D974" s="50"/>
      <c r="E974" s="263" t="s">
        <v>287</v>
      </c>
      <c r="F974" s="86">
        <v>1</v>
      </c>
      <c r="G974" s="55"/>
    </row>
    <row r="975" spans="1:7" ht="13.5" thickBot="1">
      <c r="A975" s="33"/>
      <c r="B975" s="52"/>
      <c r="C975" s="50"/>
      <c r="D975" s="50"/>
      <c r="E975" s="283" t="s">
        <v>2</v>
      </c>
      <c r="F975" s="202">
        <v>1</v>
      </c>
      <c r="G975" s="55"/>
    </row>
    <row r="976" spans="1:7" ht="13.5" thickBot="1">
      <c r="A976" s="33"/>
      <c r="B976" s="52"/>
      <c r="C976" s="50"/>
      <c r="D976" s="50"/>
      <c r="E976" s="50"/>
      <c r="F976" s="45"/>
      <c r="G976" s="55"/>
    </row>
    <row r="977" spans="1:7" ht="13.5" thickBot="1">
      <c r="A977" s="80" t="s">
        <v>436</v>
      </c>
      <c r="B977" s="545" t="str">
        <f>Planilha!C100</f>
        <v>TORNEIRA CROMADA DE MESA, 1/2 OU 3/4, PARA LAVATÓRIO, PADRÃO POPULAR FORNECIMENTO E INSTALAÇÃO. AF_01/2020</v>
      </c>
      <c r="C977" s="546"/>
      <c r="D977" s="546"/>
      <c r="E977" s="547"/>
      <c r="F977" s="81">
        <f>F984</f>
        <v>5</v>
      </c>
      <c r="G977" s="227" t="s">
        <v>106</v>
      </c>
    </row>
    <row r="978" spans="1:7" ht="12.75">
      <c r="A978" s="33"/>
      <c r="B978" s="34"/>
      <c r="C978" s="34"/>
      <c r="D978" s="34"/>
      <c r="E978" s="45"/>
      <c r="F978" s="52"/>
      <c r="G978" s="35"/>
    </row>
    <row r="979" spans="1:7" ht="12.75">
      <c r="A979" s="33"/>
      <c r="B979" s="52"/>
      <c r="C979" s="50"/>
      <c r="D979" s="50"/>
      <c r="E979" s="114" t="s">
        <v>20</v>
      </c>
      <c r="F979" s="198" t="s">
        <v>24</v>
      </c>
      <c r="G979" s="55"/>
    </row>
    <row r="980" spans="1:7" ht="12.75">
      <c r="A980" s="54"/>
      <c r="B980" s="52"/>
      <c r="C980" s="49"/>
      <c r="D980" s="51"/>
      <c r="E980" s="103" t="s">
        <v>221</v>
      </c>
      <c r="F980" s="112">
        <v>1</v>
      </c>
      <c r="G980" s="55"/>
    </row>
    <row r="981" spans="1:7" ht="12.75">
      <c r="A981" s="54"/>
      <c r="B981" s="52"/>
      <c r="C981" s="49"/>
      <c r="D981" s="51"/>
      <c r="E981" s="103" t="s">
        <v>61</v>
      </c>
      <c r="F981" s="112">
        <v>2</v>
      </c>
      <c r="G981" s="285"/>
    </row>
    <row r="982" spans="1:7" ht="12.75">
      <c r="A982" s="54"/>
      <c r="B982" s="52"/>
      <c r="C982" s="49"/>
      <c r="D982" s="51"/>
      <c r="E982" s="103" t="s">
        <v>530</v>
      </c>
      <c r="F982" s="211">
        <v>1</v>
      </c>
      <c r="G982" s="55"/>
    </row>
    <row r="983" spans="1:7" ht="13.5" thickBot="1">
      <c r="A983" s="54"/>
      <c r="B983" s="52"/>
      <c r="C983" s="49"/>
      <c r="D983" s="51"/>
      <c r="E983" s="103" t="s">
        <v>311</v>
      </c>
      <c r="F983" s="112">
        <v>1</v>
      </c>
      <c r="G983" s="55"/>
    </row>
    <row r="984" spans="1:7" ht="13.5" thickBot="1">
      <c r="A984" s="54"/>
      <c r="B984" s="34"/>
      <c r="C984" s="34"/>
      <c r="D984" s="34"/>
      <c r="E984" s="281" t="s">
        <v>2</v>
      </c>
      <c r="F984" s="280">
        <f>SUM(F980:F983)</f>
        <v>5</v>
      </c>
      <c r="G984" s="55"/>
    </row>
    <row r="985" spans="1:7" ht="13.5" thickBot="1">
      <c r="A985" s="54"/>
      <c r="B985" s="34"/>
      <c r="C985" s="34"/>
      <c r="D985" s="34"/>
      <c r="E985" s="284"/>
      <c r="F985" s="346"/>
      <c r="G985" s="55"/>
    </row>
    <row r="986" spans="1:7" ht="13.5" thickBot="1">
      <c r="A986" s="80" t="s">
        <v>437</v>
      </c>
      <c r="B986" s="545" t="str">
        <f>Planilha!C101</f>
        <v>TORNEIRA CROMADA 1/2 OU 3/4 PARA TANQUE, PADRÃO POPULAR - FORNECIMENTO E INSTALAÇÃO. AF_01/2020</v>
      </c>
      <c r="C986" s="546"/>
      <c r="D986" s="546"/>
      <c r="E986" s="547"/>
      <c r="F986" s="81">
        <f>F990</f>
        <v>2</v>
      </c>
      <c r="G986" s="227" t="s">
        <v>106</v>
      </c>
    </row>
    <row r="987" spans="1:7" ht="12.75">
      <c r="A987" s="54"/>
      <c r="B987" s="34"/>
      <c r="C987" s="34"/>
      <c r="D987" s="34"/>
      <c r="E987" s="347"/>
      <c r="F987" s="348"/>
      <c r="G987" s="55"/>
    </row>
    <row r="988" spans="1:7" ht="12.75">
      <c r="A988" s="54"/>
      <c r="B988" s="34"/>
      <c r="C988" s="34"/>
      <c r="D988" s="34"/>
      <c r="E988" s="114" t="s">
        <v>20</v>
      </c>
      <c r="F988" s="198" t="s">
        <v>24</v>
      </c>
      <c r="G988" s="55"/>
    </row>
    <row r="989" spans="1:7" ht="13.5" thickBot="1">
      <c r="A989" s="54"/>
      <c r="B989" s="34"/>
      <c r="C989" s="34"/>
      <c r="D989" s="34"/>
      <c r="E989" s="263" t="s">
        <v>287</v>
      </c>
      <c r="F989" s="86">
        <v>2</v>
      </c>
      <c r="G989" s="55"/>
    </row>
    <row r="990" spans="1:7" ht="13.5" thickBot="1">
      <c r="A990" s="54"/>
      <c r="B990" s="34"/>
      <c r="C990" s="34"/>
      <c r="D990" s="34"/>
      <c r="E990" s="283" t="s">
        <v>2</v>
      </c>
      <c r="F990" s="202">
        <v>2</v>
      </c>
      <c r="G990" s="55"/>
    </row>
    <row r="991" spans="1:7" ht="13.5" thickBot="1">
      <c r="A991" s="54"/>
      <c r="B991" s="34"/>
      <c r="C991" s="34"/>
      <c r="D991" s="34"/>
      <c r="E991" s="284"/>
      <c r="F991" s="202"/>
      <c r="G991" s="55"/>
    </row>
    <row r="992" spans="1:7" ht="29.25" customHeight="1" thickBot="1">
      <c r="A992" s="80" t="s">
        <v>438</v>
      </c>
      <c r="B992" s="545" t="str">
        <f>Planilha!C102</f>
        <v>TORNEIRA CROMADA TUBO MÓVEL, DE MESA, 1/2 OU 3/4, PARA PIA DE COZINHA, PADRÃO ALTO - FORNECIMENTO E INSTALAÇÃO. AF_01/2020</v>
      </c>
      <c r="C992" s="546"/>
      <c r="D992" s="546"/>
      <c r="E992" s="547"/>
      <c r="F992" s="81">
        <f>F996</f>
        <v>1</v>
      </c>
      <c r="G992" s="227" t="s">
        <v>106</v>
      </c>
    </row>
    <row r="993" spans="1:7" ht="12.75">
      <c r="A993" s="54"/>
      <c r="B993" s="34"/>
      <c r="C993" s="34"/>
      <c r="D993" s="34"/>
      <c r="E993" s="347"/>
      <c r="F993" s="348"/>
      <c r="G993" s="55"/>
    </row>
    <row r="994" spans="1:7" ht="12.75">
      <c r="A994" s="54"/>
      <c r="B994" s="34"/>
      <c r="C994" s="34"/>
      <c r="D994" s="34"/>
      <c r="E994" s="114" t="s">
        <v>20</v>
      </c>
      <c r="F994" s="198" t="s">
        <v>24</v>
      </c>
      <c r="G994" s="55"/>
    </row>
    <row r="995" spans="1:7" ht="13.5" thickBot="1">
      <c r="A995" s="54"/>
      <c r="B995" s="34"/>
      <c r="C995" s="34"/>
      <c r="D995" s="34"/>
      <c r="E995" s="263" t="s">
        <v>226</v>
      </c>
      <c r="F995" s="86">
        <v>1</v>
      </c>
      <c r="G995" s="55"/>
    </row>
    <row r="996" spans="1:7" ht="13.5" thickBot="1">
      <c r="A996" s="54"/>
      <c r="B996" s="34"/>
      <c r="C996" s="34"/>
      <c r="D996" s="34"/>
      <c r="E996" s="283" t="s">
        <v>2</v>
      </c>
      <c r="F996" s="202">
        <v>1</v>
      </c>
      <c r="G996" s="55"/>
    </row>
    <row r="997" spans="1:7" ht="13.5" thickBot="1">
      <c r="A997" s="54"/>
      <c r="B997" s="34"/>
      <c r="C997" s="34"/>
      <c r="D997" s="34"/>
      <c r="E997" s="261"/>
      <c r="F997" s="481"/>
      <c r="G997" s="55"/>
    </row>
    <row r="998" spans="1:7" ht="46.5" customHeight="1" thickBot="1">
      <c r="A998" s="80" t="s">
        <v>439</v>
      </c>
      <c r="B998" s="545" t="str">
        <f>Planilha!C103</f>
        <v>BARRA DE APOIO RETA, EM ALUMINIO, COMPRIMENTO 80 CM, FIXADA NA PAREDE - FORNECIMENTO E INSTALAÇÃO. AF_01/2020</v>
      </c>
      <c r="C998" s="546"/>
      <c r="D998" s="546"/>
      <c r="E998" s="547"/>
      <c r="F998" s="81">
        <f>F1002</f>
        <v>1</v>
      </c>
      <c r="G998" s="227" t="s">
        <v>106</v>
      </c>
    </row>
    <row r="999" spans="1:7" ht="12.75">
      <c r="A999" s="54"/>
      <c r="B999" s="34"/>
      <c r="C999" s="34"/>
      <c r="D999" s="34"/>
      <c r="E999" s="347"/>
      <c r="F999" s="348"/>
      <c r="G999" s="55"/>
    </row>
    <row r="1000" spans="1:7" ht="12.75">
      <c r="A1000" s="54"/>
      <c r="B1000" s="34"/>
      <c r="C1000" s="34"/>
      <c r="D1000" s="34"/>
      <c r="E1000" s="114" t="s">
        <v>20</v>
      </c>
      <c r="F1000" s="198" t="s">
        <v>24</v>
      </c>
      <c r="G1000" s="55"/>
    </row>
    <row r="1001" spans="1:7" ht="13.5" thickBot="1">
      <c r="A1001" s="54"/>
      <c r="B1001" s="34"/>
      <c r="C1001" s="34"/>
      <c r="D1001" s="34"/>
      <c r="E1001" s="263" t="s">
        <v>226</v>
      </c>
      <c r="F1001" s="86">
        <v>1</v>
      </c>
      <c r="G1001" s="55"/>
    </row>
    <row r="1002" spans="1:7" ht="13.5" thickBot="1">
      <c r="A1002" s="54"/>
      <c r="B1002" s="34"/>
      <c r="C1002" s="34"/>
      <c r="D1002" s="34"/>
      <c r="E1002" s="283" t="s">
        <v>2</v>
      </c>
      <c r="F1002" s="202">
        <v>1</v>
      </c>
      <c r="G1002" s="55"/>
    </row>
    <row r="1003" spans="1:7" ht="12.75">
      <c r="A1003" s="54"/>
      <c r="B1003" s="34"/>
      <c r="C1003" s="34"/>
      <c r="D1003" s="34"/>
      <c r="E1003" s="261"/>
      <c r="F1003" s="481"/>
      <c r="G1003" s="55"/>
    </row>
    <row r="1004" spans="1:7" ht="13.5" thickBot="1">
      <c r="A1004" s="54"/>
      <c r="B1004" s="34"/>
      <c r="C1004" s="34"/>
      <c r="D1004" s="34"/>
      <c r="E1004" s="45"/>
      <c r="F1004" s="481"/>
      <c r="G1004" s="55"/>
    </row>
    <row r="1005" spans="1:7" ht="13.5" thickBot="1">
      <c r="A1005" s="80" t="s">
        <v>440</v>
      </c>
      <c r="B1005" s="545" t="s">
        <v>45</v>
      </c>
      <c r="C1005" s="546"/>
      <c r="D1005" s="546"/>
      <c r="E1005" s="547"/>
      <c r="F1005" s="81">
        <f>F1009</f>
        <v>3</v>
      </c>
      <c r="G1005" s="227" t="s">
        <v>106</v>
      </c>
    </row>
    <row r="1006" spans="1:7" ht="12.75">
      <c r="A1006" s="33"/>
      <c r="B1006" s="34"/>
      <c r="C1006" s="34"/>
      <c r="D1006" s="34"/>
      <c r="E1006" s="45"/>
      <c r="F1006" s="52"/>
      <c r="G1006" s="35"/>
    </row>
    <row r="1007" spans="1:7" ht="12.75">
      <c r="A1007" s="33"/>
      <c r="B1007" s="52"/>
      <c r="C1007" s="50"/>
      <c r="D1007" s="50"/>
      <c r="E1007" s="114" t="s">
        <v>20</v>
      </c>
      <c r="F1007" s="198" t="s">
        <v>24</v>
      </c>
      <c r="G1007" s="55"/>
    </row>
    <row r="1008" spans="1:7" ht="13.5" thickBot="1">
      <c r="A1008" s="54"/>
      <c r="B1008" s="52"/>
      <c r="C1008" s="49"/>
      <c r="D1008" s="51"/>
      <c r="E1008" s="263" t="s">
        <v>221</v>
      </c>
      <c r="F1008" s="265">
        <v>3</v>
      </c>
      <c r="G1008" s="55"/>
    </row>
    <row r="1009" spans="1:7" ht="13.5" thickBot="1">
      <c r="A1009" s="54"/>
      <c r="B1009" s="52"/>
      <c r="C1009" s="49"/>
      <c r="D1009" s="51"/>
      <c r="E1009" s="283" t="s">
        <v>2</v>
      </c>
      <c r="F1009" s="282">
        <v>3</v>
      </c>
      <c r="G1009" s="55"/>
    </row>
    <row r="1010" spans="1:7" ht="13.5" thickBot="1">
      <c r="A1010" s="54"/>
      <c r="B1010" s="52"/>
      <c r="C1010" s="49"/>
      <c r="D1010" s="51"/>
      <c r="E1010" s="261"/>
      <c r="F1010" s="262"/>
      <c r="G1010" s="55"/>
    </row>
    <row r="1011" spans="1:7" ht="26.25" customHeight="1" thickBot="1">
      <c r="A1011" s="80" t="s">
        <v>440</v>
      </c>
      <c r="B1011" s="545" t="str">
        <f>Planilha!C105</f>
        <v>CHUVEIRO ELÉTRICO COMUM CORPO PLÁSTICO, TIPO DUCHA FORNECIMENTO E INSTALAÇÃO. AF_01/2020</v>
      </c>
      <c r="C1011" s="546"/>
      <c r="D1011" s="546"/>
      <c r="E1011" s="547"/>
      <c r="F1011" s="81">
        <f>F1016</f>
        <v>2</v>
      </c>
      <c r="G1011" s="227" t="s">
        <v>106</v>
      </c>
    </row>
    <row r="1012" spans="1:7" ht="12.75">
      <c r="A1012" s="54"/>
      <c r="B1012" s="52"/>
      <c r="C1012" s="49"/>
      <c r="D1012" s="51"/>
      <c r="E1012" s="261"/>
      <c r="F1012" s="262"/>
      <c r="G1012" s="55"/>
    </row>
    <row r="1013" spans="1:7" ht="12.75">
      <c r="A1013" s="54"/>
      <c r="B1013" s="52"/>
      <c r="C1013" s="49"/>
      <c r="D1013" s="51"/>
      <c r="E1013" s="114" t="s">
        <v>20</v>
      </c>
      <c r="F1013" s="198" t="s">
        <v>24</v>
      </c>
      <c r="G1013" s="55"/>
    </row>
    <row r="1014" spans="1:7" ht="12.75">
      <c r="A1014" s="54"/>
      <c r="B1014" s="52"/>
      <c r="C1014" s="49"/>
      <c r="D1014" s="51"/>
      <c r="E1014" s="263" t="s">
        <v>536</v>
      </c>
      <c r="F1014" s="211">
        <v>1</v>
      </c>
      <c r="G1014" s="55"/>
    </row>
    <row r="1015" spans="1:7" ht="13.5" thickBot="1">
      <c r="A1015" s="54"/>
      <c r="B1015" s="34"/>
      <c r="C1015" s="34"/>
      <c r="D1015" s="34"/>
      <c r="E1015" s="263" t="s">
        <v>530</v>
      </c>
      <c r="F1015" s="265">
        <v>1</v>
      </c>
      <c r="G1015" s="55"/>
    </row>
    <row r="1016" spans="1:7" ht="13.5" thickBot="1">
      <c r="A1016" s="54"/>
      <c r="B1016" s="34"/>
      <c r="C1016" s="34"/>
      <c r="D1016" s="34"/>
      <c r="E1016" s="283" t="s">
        <v>2</v>
      </c>
      <c r="F1016" s="280">
        <f>SUM(F1014:F1015)</f>
        <v>2</v>
      </c>
      <c r="G1016" s="55"/>
    </row>
    <row r="1017" spans="1:7" ht="13.5" thickBot="1">
      <c r="A1017" s="54"/>
      <c r="B1017" s="34"/>
      <c r="C1017" s="34"/>
      <c r="D1017" s="34"/>
      <c r="E1017" s="50"/>
      <c r="F1017" s="279"/>
      <c r="G1017" s="55"/>
    </row>
    <row r="1018" spans="1:7" ht="13.5" thickBot="1">
      <c r="A1018" s="80" t="s">
        <v>527</v>
      </c>
      <c r="B1018" s="545" t="str">
        <f>Planilha!C106</f>
        <v>BANCADA EM GRANITO CINZA ANDORINHA E = 3 CM, APOIADA EM
ALVENARIA</v>
      </c>
      <c r="C1018" s="546"/>
      <c r="D1018" s="546"/>
      <c r="E1018" s="547"/>
      <c r="F1018" s="81">
        <f>E1023</f>
        <v>2.64</v>
      </c>
      <c r="G1018" s="80" t="s">
        <v>19</v>
      </c>
    </row>
    <row r="1019" spans="1:7" ht="12.75">
      <c r="A1019" s="33"/>
      <c r="B1019" s="34"/>
      <c r="C1019" s="34"/>
      <c r="D1019" s="34"/>
      <c r="E1019" s="45"/>
      <c r="F1019" s="52"/>
      <c r="G1019" s="35"/>
    </row>
    <row r="1020" spans="1:7" ht="12.75">
      <c r="A1020" s="477"/>
      <c r="B1020" s="114" t="s">
        <v>20</v>
      </c>
      <c r="C1020" s="114" t="s">
        <v>21</v>
      </c>
      <c r="D1020" s="114" t="s">
        <v>26</v>
      </c>
      <c r="E1020" s="114" t="s">
        <v>23</v>
      </c>
      <c r="F1020" s="34"/>
      <c r="G1020" s="35"/>
    </row>
    <row r="1021" spans="1:7" ht="12.75">
      <c r="A1021" s="477"/>
      <c r="B1021" s="106" t="s">
        <v>306</v>
      </c>
      <c r="C1021" s="107">
        <v>0.6</v>
      </c>
      <c r="D1021" s="107">
        <v>2.4</v>
      </c>
      <c r="E1021" s="107">
        <f>C1021*D1021</f>
        <v>1.44</v>
      </c>
      <c r="F1021" s="34"/>
      <c r="G1021" s="35"/>
    </row>
    <row r="1022" spans="1:7" ht="13.5" thickBot="1">
      <c r="A1022" s="477"/>
      <c r="B1022" s="106" t="s">
        <v>390</v>
      </c>
      <c r="C1022" s="107">
        <v>0.6</v>
      </c>
      <c r="D1022" s="239">
        <v>2</v>
      </c>
      <c r="E1022" s="239">
        <f>C1022*D1022</f>
        <v>1.2</v>
      </c>
      <c r="F1022" s="34"/>
      <c r="G1022" s="35"/>
    </row>
    <row r="1023" spans="1:7" ht="13.5" thickBot="1">
      <c r="A1023" s="33"/>
      <c r="B1023" s="34"/>
      <c r="C1023" s="34"/>
      <c r="D1023" s="78" t="s">
        <v>2</v>
      </c>
      <c r="E1023" s="212">
        <f>SUM(E1021:E1022)</f>
        <v>2.64</v>
      </c>
      <c r="F1023" s="34"/>
      <c r="G1023" s="35"/>
    </row>
    <row r="1024" spans="1:7" ht="13.5" thickBot="1">
      <c r="A1024" s="33"/>
      <c r="B1024" s="34"/>
      <c r="C1024" s="34"/>
      <c r="D1024" s="481"/>
      <c r="E1024" s="37"/>
      <c r="F1024" s="34"/>
      <c r="G1024" s="35"/>
    </row>
    <row r="1025" spans="1:7" ht="13.5" thickBot="1">
      <c r="A1025" s="357">
        <v>13</v>
      </c>
      <c r="B1025" s="557" t="s">
        <v>135</v>
      </c>
      <c r="C1025" s="558"/>
      <c r="D1025" s="558"/>
      <c r="E1025" s="558"/>
      <c r="F1025" s="558"/>
      <c r="G1025" s="559"/>
    </row>
    <row r="1026" spans="1:7" ht="13.5" thickBot="1">
      <c r="A1026" s="54"/>
      <c r="B1026" s="34"/>
      <c r="C1026" s="34"/>
      <c r="D1026" s="34"/>
      <c r="E1026" s="353"/>
      <c r="F1026" s="354"/>
      <c r="G1026" s="35"/>
    </row>
    <row r="1027" spans="1:7" ht="13.5" thickBot="1">
      <c r="A1027" s="80" t="s">
        <v>441</v>
      </c>
      <c r="B1027" s="545" t="str">
        <f>Planilha!C109</f>
        <v>COMPOSIÇÃO PARAMÉTRICA DE PONTO ELÉTRICO DE ILUMINAÇÃO, COM INTERRUPTOR SIMPLES, EM EDIFÍCIO RESIDENCIAL COM ELETRODUTO EMBUTIDO EM RASGOS NAS PAREDES, INCLUSO TOMADA, ELETRODUTO, CABO, RASGO E CHUMBAMENTO (SEM LUMINÁRIA E LÂMPADA). AF_11/2022</v>
      </c>
      <c r="C1027" s="546"/>
      <c r="D1027" s="546"/>
      <c r="E1027" s="547"/>
      <c r="F1027" s="81">
        <f>F1037</f>
        <v>14</v>
      </c>
      <c r="G1027" s="80" t="s">
        <v>30</v>
      </c>
    </row>
    <row r="1028" spans="1:7" ht="12.75">
      <c r="A1028" s="33"/>
      <c r="B1028" s="34"/>
      <c r="C1028" s="34"/>
      <c r="D1028" s="34"/>
      <c r="E1028" s="45"/>
      <c r="F1028" s="52"/>
      <c r="G1028" s="35"/>
    </row>
    <row r="1029" spans="1:7" ht="12.75">
      <c r="A1029" s="33"/>
      <c r="B1029" s="52"/>
      <c r="C1029" s="50"/>
      <c r="D1029" s="50"/>
      <c r="E1029" s="114" t="s">
        <v>20</v>
      </c>
      <c r="F1029" s="198" t="s">
        <v>24</v>
      </c>
      <c r="G1029" s="55"/>
    </row>
    <row r="1030" spans="1:7" ht="12.75">
      <c r="A1030" s="54"/>
      <c r="B1030" s="52"/>
      <c r="C1030" s="49"/>
      <c r="D1030" s="51"/>
      <c r="E1030" s="106" t="s">
        <v>269</v>
      </c>
      <c r="F1030" s="265">
        <v>2</v>
      </c>
      <c r="G1030" s="55"/>
    </row>
    <row r="1031" spans="1:7" ht="12.75">
      <c r="A1031" s="54"/>
      <c r="B1031" s="52"/>
      <c r="C1031" s="49"/>
      <c r="D1031" s="51"/>
      <c r="E1031" s="106" t="s">
        <v>221</v>
      </c>
      <c r="F1031" s="265">
        <v>1</v>
      </c>
      <c r="G1031" s="55"/>
    </row>
    <row r="1032" spans="1:7" ht="12.75">
      <c r="A1032" s="54"/>
      <c r="B1032" s="52"/>
      <c r="C1032" s="49"/>
      <c r="D1032" s="51"/>
      <c r="E1032" s="106" t="s">
        <v>379</v>
      </c>
      <c r="F1032" s="265">
        <v>1</v>
      </c>
      <c r="G1032" s="55"/>
    </row>
    <row r="1033" spans="1:7" ht="12.75">
      <c r="A1033" s="54"/>
      <c r="B1033" s="52"/>
      <c r="C1033" s="49"/>
      <c r="D1033" s="51"/>
      <c r="E1033" s="106" t="s">
        <v>380</v>
      </c>
      <c r="F1033" s="113">
        <v>1</v>
      </c>
      <c r="G1033" s="55"/>
    </row>
    <row r="1034" spans="1:7" ht="12.75">
      <c r="A1034" s="54"/>
      <c r="B1034" s="52"/>
      <c r="C1034" s="49"/>
      <c r="D1034" s="51"/>
      <c r="E1034" s="76" t="s">
        <v>270</v>
      </c>
      <c r="F1034" s="265">
        <v>1</v>
      </c>
      <c r="G1034" s="55"/>
    </row>
    <row r="1035" spans="1:7" ht="12.75">
      <c r="A1035" s="54"/>
      <c r="B1035" s="52"/>
      <c r="C1035" s="49"/>
      <c r="D1035" s="51"/>
      <c r="E1035" s="106" t="s">
        <v>311</v>
      </c>
      <c r="F1035" s="113">
        <v>4</v>
      </c>
      <c r="G1035" s="55"/>
    </row>
    <row r="1036" spans="1:7" ht="13.5" thickBot="1">
      <c r="A1036" s="54"/>
      <c r="B1036" s="52"/>
      <c r="C1036" s="49"/>
      <c r="D1036" s="51"/>
      <c r="E1036" s="76" t="s">
        <v>571</v>
      </c>
      <c r="F1036" s="265">
        <v>4</v>
      </c>
      <c r="G1036" s="55"/>
    </row>
    <row r="1037" spans="1:7" ht="13.5" thickBot="1">
      <c r="A1037" s="33"/>
      <c r="B1037" s="34"/>
      <c r="C1037" s="34"/>
      <c r="D1037" s="34"/>
      <c r="E1037" s="78" t="s">
        <v>2</v>
      </c>
      <c r="F1037" s="223">
        <f>SUM(F1030:F1036)</f>
        <v>14</v>
      </c>
      <c r="G1037" s="74"/>
    </row>
    <row r="1038" spans="1:7" ht="13.5" thickBot="1">
      <c r="A1038" s="33"/>
      <c r="B1038" s="34"/>
      <c r="C1038" s="34"/>
      <c r="D1038" s="34"/>
      <c r="E1038" s="56"/>
      <c r="F1038" s="75"/>
      <c r="G1038" s="35"/>
    </row>
    <row r="1039" spans="1:7" ht="13.5" thickBot="1">
      <c r="A1039" s="80" t="s">
        <v>442</v>
      </c>
      <c r="B1039" s="545" t="str">
        <f>Planilha!C110</f>
        <v>COMPOSIÇÃO PARAMÉTRICA DE PONTO ELÉTRICO DE TOMADA DE USO GERAL 2P+T10A/250V) EM EDIFÍCIO RESIDENCIAL COM ELETRODUTO EMBUTIDO EM RASGOS NAS PAREDES, INCLUSO TOMADA, ELETRODUTO, CABO, RASGO, QUEBRA E CHUMBAMENTO. AF_11/2022</v>
      </c>
      <c r="C1039" s="546"/>
      <c r="D1039" s="546"/>
      <c r="E1039" s="547"/>
      <c r="F1039" s="81">
        <f>F1056</f>
        <v>36</v>
      </c>
      <c r="G1039" s="80" t="s">
        <v>30</v>
      </c>
    </row>
    <row r="1040" spans="1:7" ht="12.75">
      <c r="A1040" s="33"/>
      <c r="B1040" s="34"/>
      <c r="C1040" s="34"/>
      <c r="D1040" s="34"/>
      <c r="E1040" s="45"/>
      <c r="F1040" s="52"/>
      <c r="G1040" s="35"/>
    </row>
    <row r="1041" spans="1:7" ht="12.75">
      <c r="A1041" s="33"/>
      <c r="B1041" s="52"/>
      <c r="C1041" s="50"/>
      <c r="D1041" s="50"/>
      <c r="E1041" s="114" t="s">
        <v>20</v>
      </c>
      <c r="F1041" s="198" t="s">
        <v>24</v>
      </c>
      <c r="G1041" s="55"/>
    </row>
    <row r="1042" spans="1:7" ht="12.75">
      <c r="A1042" s="33"/>
      <c r="B1042" s="52"/>
      <c r="C1042" s="50"/>
      <c r="D1042" s="50"/>
      <c r="E1042" s="103" t="s">
        <v>224</v>
      </c>
      <c r="F1042" s="211">
        <v>1</v>
      </c>
      <c r="G1042" s="55"/>
    </row>
    <row r="1043" spans="1:7" ht="12.75">
      <c r="A1043" s="33"/>
      <c r="B1043" s="52"/>
      <c r="C1043" s="50"/>
      <c r="D1043" s="50"/>
      <c r="E1043" s="103" t="s">
        <v>275</v>
      </c>
      <c r="F1043" s="211">
        <v>3</v>
      </c>
      <c r="G1043" s="55"/>
    </row>
    <row r="1044" spans="1:7" ht="12.75">
      <c r="A1044" s="33"/>
      <c r="B1044" s="52"/>
      <c r="C1044" s="50"/>
      <c r="D1044" s="50"/>
      <c r="E1044" s="103" t="s">
        <v>389</v>
      </c>
      <c r="F1044" s="211">
        <v>2</v>
      </c>
      <c r="G1044" s="55"/>
    </row>
    <row r="1045" spans="1:7" ht="12.75">
      <c r="A1045" s="54"/>
      <c r="B1045" s="52"/>
      <c r="C1045" s="49"/>
      <c r="D1045" s="51"/>
      <c r="E1045" s="106" t="s">
        <v>381</v>
      </c>
      <c r="F1045" s="265">
        <v>2</v>
      </c>
      <c r="G1045" s="55"/>
    </row>
    <row r="1046" spans="1:7" ht="12.75">
      <c r="A1046" s="54"/>
      <c r="B1046" s="52"/>
      <c r="C1046" s="49"/>
      <c r="D1046" s="51"/>
      <c r="E1046" s="106" t="s">
        <v>226</v>
      </c>
      <c r="F1046" s="265">
        <v>2</v>
      </c>
      <c r="G1046" s="55"/>
    </row>
    <row r="1047" spans="1:7" ht="12.75">
      <c r="A1047" s="54"/>
      <c r="B1047" s="52"/>
      <c r="C1047" s="49"/>
      <c r="D1047" s="51"/>
      <c r="E1047" s="106" t="s">
        <v>219</v>
      </c>
      <c r="F1047" s="265">
        <v>4</v>
      </c>
      <c r="G1047" s="55"/>
    </row>
    <row r="1048" spans="1:7" ht="12.75">
      <c r="A1048" s="54"/>
      <c r="B1048" s="52"/>
      <c r="C1048" s="49"/>
      <c r="D1048" s="51"/>
      <c r="E1048" s="106" t="s">
        <v>234</v>
      </c>
      <c r="F1048" s="113">
        <v>3</v>
      </c>
      <c r="G1048" s="55"/>
    </row>
    <row r="1049" spans="1:7" ht="12.75">
      <c r="A1049" s="54"/>
      <c r="B1049" s="52"/>
      <c r="C1049" s="49"/>
      <c r="D1049" s="355"/>
      <c r="E1049" s="106" t="s">
        <v>274</v>
      </c>
      <c r="F1049" s="113">
        <v>1</v>
      </c>
      <c r="G1049" s="55"/>
    </row>
    <row r="1050" spans="1:7" ht="12.75">
      <c r="A1050" s="54"/>
      <c r="B1050" s="52"/>
      <c r="C1050" s="49"/>
      <c r="D1050" s="355"/>
      <c r="E1050" s="106" t="s">
        <v>223</v>
      </c>
      <c r="F1050" s="113">
        <v>2</v>
      </c>
      <c r="G1050" s="55"/>
    </row>
    <row r="1051" spans="1:7" ht="12.75">
      <c r="A1051" s="54"/>
      <c r="B1051" s="52"/>
      <c r="C1051" s="49"/>
      <c r="D1051" s="355"/>
      <c r="E1051" s="106" t="s">
        <v>390</v>
      </c>
      <c r="F1051" s="113">
        <v>3</v>
      </c>
      <c r="G1051" s="55"/>
    </row>
    <row r="1052" spans="1:7" ht="12.75">
      <c r="A1052" s="54"/>
      <c r="B1052" s="52"/>
      <c r="C1052" s="49"/>
      <c r="D1052" s="355"/>
      <c r="E1052" s="76" t="s">
        <v>232</v>
      </c>
      <c r="F1052" s="265">
        <v>2</v>
      </c>
      <c r="G1052" s="55"/>
    </row>
    <row r="1053" spans="1:7" ht="12.75">
      <c r="A1053" s="54"/>
      <c r="B1053" s="52"/>
      <c r="C1053" s="49"/>
      <c r="D1053" s="355"/>
      <c r="E1053" s="76" t="s">
        <v>237</v>
      </c>
      <c r="F1053" s="265">
        <v>3</v>
      </c>
      <c r="G1053" s="55"/>
    </row>
    <row r="1054" spans="1:7" ht="15" customHeight="1">
      <c r="A1054" s="54"/>
      <c r="B1054" s="52"/>
      <c r="C1054" s="49"/>
      <c r="D1054" s="51"/>
      <c r="E1054" s="106" t="s">
        <v>465</v>
      </c>
      <c r="F1054" s="113">
        <v>6</v>
      </c>
      <c r="G1054" s="55"/>
    </row>
    <row r="1055" spans="1:7" ht="13.5" thickBot="1">
      <c r="A1055" s="54"/>
      <c r="B1055" s="52"/>
      <c r="C1055" s="49"/>
      <c r="D1055" s="51"/>
      <c r="E1055" s="76" t="s">
        <v>462</v>
      </c>
      <c r="F1055" s="265">
        <v>2</v>
      </c>
      <c r="G1055" s="55"/>
    </row>
    <row r="1056" spans="1:7" ht="13.5" thickBot="1">
      <c r="A1056" s="33"/>
      <c r="B1056" s="34"/>
      <c r="C1056" s="34"/>
      <c r="D1056" s="34"/>
      <c r="E1056" s="356" t="s">
        <v>2</v>
      </c>
      <c r="F1056" s="358">
        <f>SUM(F1042:F1055)</f>
        <v>36</v>
      </c>
      <c r="G1056" s="35"/>
    </row>
    <row r="1057" spans="1:7" ht="13.5" thickBot="1">
      <c r="A1057" s="33"/>
      <c r="B1057" s="34"/>
      <c r="C1057" s="34"/>
      <c r="D1057" s="34"/>
      <c r="E1057" s="56"/>
      <c r="F1057" s="75"/>
      <c r="G1057" s="35"/>
    </row>
    <row r="1058" spans="1:7" ht="13.5" thickBot="1">
      <c r="A1058" s="80" t="s">
        <v>443</v>
      </c>
      <c r="B1058" s="545" t="str">
        <f>Planilha!C111</f>
        <v>LUMINÁRIA TIPO PLAFON EM PLÁSTICO, DE SOBREPOR, COM 1 LÂMPADA FLUORESCENTE DE 15 W, SEM REATOR - FORNECIMENTO E INSTALAÇÃO. AF_02/2020</v>
      </c>
      <c r="C1058" s="546"/>
      <c r="D1058" s="546"/>
      <c r="E1058" s="547"/>
      <c r="F1058" s="81">
        <f>F1081</f>
        <v>27</v>
      </c>
      <c r="G1058" s="80" t="s">
        <v>30</v>
      </c>
    </row>
    <row r="1059" spans="1:7" ht="8.25" customHeight="1" hidden="1" thickBot="1">
      <c r="A1059" s="33"/>
      <c r="B1059" s="34"/>
      <c r="C1059" s="34"/>
      <c r="D1059" s="34"/>
      <c r="E1059" s="45"/>
      <c r="F1059" s="52"/>
      <c r="G1059" s="35"/>
    </row>
    <row r="1060" spans="1:7" ht="12.75">
      <c r="A1060" s="33"/>
      <c r="B1060" s="52"/>
      <c r="C1060" s="50"/>
      <c r="D1060" s="50"/>
      <c r="E1060" s="114" t="s">
        <v>20</v>
      </c>
      <c r="F1060" s="198" t="s">
        <v>24</v>
      </c>
      <c r="G1060" s="55"/>
    </row>
    <row r="1061" spans="1:7" ht="12.75">
      <c r="A1061" s="54"/>
      <c r="B1061" s="52"/>
      <c r="C1061" s="49"/>
      <c r="D1061" s="51"/>
      <c r="E1061" s="106" t="s">
        <v>382</v>
      </c>
      <c r="F1061" s="113">
        <v>1</v>
      </c>
      <c r="G1061" s="55"/>
    </row>
    <row r="1062" spans="1:7" ht="12.75">
      <c r="A1062" s="54"/>
      <c r="B1062" s="52"/>
      <c r="C1062" s="49"/>
      <c r="D1062" s="51"/>
      <c r="E1062" s="106" t="s">
        <v>229</v>
      </c>
      <c r="F1062" s="113">
        <v>1</v>
      </c>
      <c r="G1062" s="55"/>
    </row>
    <row r="1063" spans="1:7" ht="12.75">
      <c r="A1063" s="54"/>
      <c r="B1063" s="52"/>
      <c r="C1063" s="49"/>
      <c r="D1063" s="51"/>
      <c r="E1063" s="106" t="s">
        <v>273</v>
      </c>
      <c r="F1063" s="113">
        <v>2</v>
      </c>
      <c r="G1063" s="55"/>
    </row>
    <row r="1064" spans="1:7" ht="12.75">
      <c r="A1064" s="54"/>
      <c r="B1064" s="52"/>
      <c r="C1064" s="49"/>
      <c r="D1064" s="51"/>
      <c r="E1064" s="106" t="s">
        <v>224</v>
      </c>
      <c r="F1064" s="113">
        <v>1</v>
      </c>
      <c r="G1064" s="55"/>
    </row>
    <row r="1065" spans="1:7" ht="12.75">
      <c r="A1065" s="54"/>
      <c r="B1065" s="34"/>
      <c r="C1065" s="34"/>
      <c r="D1065" s="34"/>
      <c r="E1065" s="106" t="s">
        <v>572</v>
      </c>
      <c r="F1065" s="113">
        <v>1</v>
      </c>
      <c r="G1065" s="55"/>
    </row>
    <row r="1066" spans="1:7" ht="12.75">
      <c r="A1066" s="54"/>
      <c r="B1066" s="34"/>
      <c r="C1066" s="34"/>
      <c r="D1066" s="34"/>
      <c r="E1066" s="106" t="s">
        <v>461</v>
      </c>
      <c r="F1066" s="113">
        <v>1</v>
      </c>
      <c r="G1066" s="55"/>
    </row>
    <row r="1067" spans="1:7" ht="12.75">
      <c r="A1067" s="54"/>
      <c r="B1067" s="34"/>
      <c r="C1067" s="34"/>
      <c r="D1067" s="34"/>
      <c r="E1067" s="106" t="s">
        <v>221</v>
      </c>
      <c r="F1067" s="113">
        <v>1</v>
      </c>
      <c r="G1067" s="55"/>
    </row>
    <row r="1068" spans="1:7" ht="12.75">
      <c r="A1068" s="54"/>
      <c r="B1068" s="34"/>
      <c r="C1068" s="34"/>
      <c r="D1068" s="34"/>
      <c r="E1068" s="106" t="s">
        <v>240</v>
      </c>
      <c r="F1068" s="113">
        <v>1</v>
      </c>
      <c r="G1068" s="55"/>
    </row>
    <row r="1069" spans="1:7" ht="12.75">
      <c r="A1069" s="54"/>
      <c r="B1069" s="34"/>
      <c r="C1069" s="34"/>
      <c r="D1069" s="34"/>
      <c r="E1069" s="106" t="s">
        <v>573</v>
      </c>
      <c r="F1069" s="113">
        <v>1</v>
      </c>
      <c r="G1069" s="55"/>
    </row>
    <row r="1070" spans="1:7" ht="12.75">
      <c r="A1070" s="54"/>
      <c r="B1070" s="34"/>
      <c r="C1070" s="34"/>
      <c r="D1070" s="34"/>
      <c r="E1070" s="106" t="s">
        <v>383</v>
      </c>
      <c r="F1070" s="113">
        <v>1</v>
      </c>
      <c r="G1070" s="55"/>
    </row>
    <row r="1071" spans="1:7" ht="12.75">
      <c r="A1071" s="54"/>
      <c r="B1071" s="34"/>
      <c r="C1071" s="34"/>
      <c r="D1071" s="34"/>
      <c r="E1071" s="106" t="s">
        <v>549</v>
      </c>
      <c r="F1071" s="113">
        <v>1</v>
      </c>
      <c r="G1071" s="55"/>
    </row>
    <row r="1072" spans="1:7" ht="12.75">
      <c r="A1072" s="54"/>
      <c r="B1072" s="34"/>
      <c r="C1072" s="34"/>
      <c r="D1072" s="34"/>
      <c r="E1072" s="106" t="s">
        <v>219</v>
      </c>
      <c r="F1072" s="113">
        <v>1</v>
      </c>
      <c r="G1072" s="55"/>
    </row>
    <row r="1073" spans="1:7" ht="12.75">
      <c r="A1073" s="54"/>
      <c r="B1073" s="34"/>
      <c r="C1073" s="34"/>
      <c r="D1073" s="34"/>
      <c r="E1073" s="106" t="s">
        <v>384</v>
      </c>
      <c r="F1073" s="113">
        <v>1</v>
      </c>
      <c r="G1073" s="55"/>
    </row>
    <row r="1074" spans="1:7" ht="12.75">
      <c r="A1074" s="54"/>
      <c r="B1074" s="34"/>
      <c r="C1074" s="34"/>
      <c r="D1074" s="34"/>
      <c r="E1074" s="106" t="s">
        <v>235</v>
      </c>
      <c r="F1074" s="113">
        <v>1</v>
      </c>
      <c r="G1074" s="55"/>
    </row>
    <row r="1075" spans="1:7" ht="12.75">
      <c r="A1075" s="54"/>
      <c r="B1075" s="34"/>
      <c r="C1075" s="34"/>
      <c r="D1075" s="34"/>
      <c r="E1075" s="106" t="s">
        <v>270</v>
      </c>
      <c r="F1075" s="113">
        <v>1</v>
      </c>
      <c r="G1075" s="55"/>
    </row>
    <row r="1076" spans="1:7" ht="12.75">
      <c r="A1076" s="54"/>
      <c r="B1076" s="34"/>
      <c r="C1076" s="34"/>
      <c r="D1076" s="34"/>
      <c r="E1076" s="106" t="s">
        <v>287</v>
      </c>
      <c r="F1076" s="113">
        <v>1</v>
      </c>
      <c r="G1076" s="55"/>
    </row>
    <row r="1077" spans="1:7" ht="12.75">
      <c r="A1077" s="54"/>
      <c r="B1077" s="34"/>
      <c r="C1077" s="34"/>
      <c r="D1077" s="34"/>
      <c r="E1077" s="106" t="s">
        <v>236</v>
      </c>
      <c r="F1077" s="113">
        <v>1</v>
      </c>
      <c r="G1077" s="55"/>
    </row>
    <row r="1078" spans="1:7" ht="12.75">
      <c r="A1078" s="54"/>
      <c r="B1078" s="34"/>
      <c r="C1078" s="34"/>
      <c r="D1078" s="34"/>
      <c r="E1078" s="106" t="s">
        <v>237</v>
      </c>
      <c r="F1078" s="113">
        <v>1</v>
      </c>
      <c r="G1078" s="55"/>
    </row>
    <row r="1079" spans="1:7" ht="12.75">
      <c r="A1079" s="54"/>
      <c r="B1079" s="34"/>
      <c r="C1079" s="34"/>
      <c r="D1079" s="34"/>
      <c r="E1079" s="106" t="s">
        <v>462</v>
      </c>
      <c r="F1079" s="113">
        <v>4</v>
      </c>
      <c r="G1079" s="55"/>
    </row>
    <row r="1080" spans="1:8" ht="13.5" thickBot="1">
      <c r="A1080" s="54"/>
      <c r="B1080" s="34"/>
      <c r="C1080" s="34"/>
      <c r="D1080" s="34"/>
      <c r="E1080" s="76" t="s">
        <v>466</v>
      </c>
      <c r="F1080" s="265">
        <v>4</v>
      </c>
      <c r="G1080" s="55"/>
      <c r="H1080" s="59" t="s">
        <v>36</v>
      </c>
    </row>
    <row r="1081" spans="1:7" ht="13.5" thickBot="1">
      <c r="A1081" s="33"/>
      <c r="B1081" s="34"/>
      <c r="C1081" s="34"/>
      <c r="D1081" s="34"/>
      <c r="E1081" s="78" t="s">
        <v>2</v>
      </c>
      <c r="F1081" s="223">
        <f>SUM(F1061:F1080)</f>
        <v>27</v>
      </c>
      <c r="G1081" s="74"/>
    </row>
    <row r="1082" spans="1:7" ht="13.5" thickBot="1">
      <c r="A1082" s="33"/>
      <c r="B1082" s="34"/>
      <c r="C1082" s="34"/>
      <c r="D1082" s="34"/>
      <c r="E1082" s="481"/>
      <c r="F1082" s="434"/>
      <c r="G1082" s="35"/>
    </row>
    <row r="1083" spans="1:7" ht="13.5" thickBot="1">
      <c r="A1083" s="357">
        <v>15</v>
      </c>
      <c r="B1083" s="557" t="s">
        <v>626</v>
      </c>
      <c r="C1083" s="558"/>
      <c r="D1083" s="558"/>
      <c r="E1083" s="558"/>
      <c r="F1083" s="558"/>
      <c r="G1083" s="559"/>
    </row>
    <row r="1084" spans="1:7" ht="13.5" thickBot="1">
      <c r="A1084" s="33"/>
      <c r="B1084" s="34"/>
      <c r="C1084" s="34"/>
      <c r="D1084" s="34"/>
      <c r="E1084" s="481"/>
      <c r="F1084" s="77"/>
      <c r="G1084" s="35"/>
    </row>
    <row r="1085" spans="1:7" ht="54" customHeight="1" thickBot="1">
      <c r="A1085" s="80" t="s">
        <v>584</v>
      </c>
      <c r="B1085" s="545" t="str">
        <f>Planilha!C115</f>
        <v> DEMOLIÇÃO MANUAL DE CONCRETO, SEM ARMAÇÃO, INCLUSIVE
AFASTAMENTO E EMPILHAMENTO, EXCLUSIVE TRANSPORTE E
RETIRADA DO MATERIAL DEMOLIDO</v>
      </c>
      <c r="C1085" s="546"/>
      <c r="D1085" s="546"/>
      <c r="E1085" s="547"/>
      <c r="F1085" s="81">
        <f>F1089</f>
        <v>3</v>
      </c>
      <c r="G1085" s="80" t="s">
        <v>107</v>
      </c>
    </row>
    <row r="1086" spans="1:7" ht="12.75">
      <c r="A1086" s="33"/>
      <c r="B1086" s="34"/>
      <c r="C1086" s="34"/>
      <c r="D1086" s="34"/>
      <c r="E1086" s="481"/>
      <c r="F1086" s="434"/>
      <c r="G1086" s="35"/>
    </row>
    <row r="1087" spans="1:7" ht="12.75">
      <c r="A1087" s="33"/>
      <c r="B1087" s="114" t="s">
        <v>20</v>
      </c>
      <c r="C1087" s="114" t="s">
        <v>21</v>
      </c>
      <c r="D1087" s="114" t="s">
        <v>26</v>
      </c>
      <c r="E1087" s="221" t="s">
        <v>249</v>
      </c>
      <c r="F1087" s="114" t="s">
        <v>23</v>
      </c>
      <c r="G1087" s="35"/>
    </row>
    <row r="1088" spans="1:7" ht="13.5" thickBot="1">
      <c r="A1088" s="33"/>
      <c r="B1088" s="106" t="s">
        <v>612</v>
      </c>
      <c r="C1088" s="107">
        <v>4</v>
      </c>
      <c r="D1088" s="107">
        <v>1.5</v>
      </c>
      <c r="E1088" s="286">
        <v>0.5</v>
      </c>
      <c r="F1088" s="239">
        <f>C1088*D1088*E1088</f>
        <v>3</v>
      </c>
      <c r="G1088" s="35"/>
    </row>
    <row r="1089" spans="1:7" ht="13.5" thickBot="1">
      <c r="A1089" s="33"/>
      <c r="B1089" s="70"/>
      <c r="C1089" s="41"/>
      <c r="D1089" s="52"/>
      <c r="E1089" s="87" t="s">
        <v>2</v>
      </c>
      <c r="F1089" s="223">
        <f>F1088</f>
        <v>3</v>
      </c>
      <c r="G1089" s="35"/>
    </row>
    <row r="1090" spans="1:7" ht="13.5" thickBot="1">
      <c r="A1090" s="33"/>
      <c r="B1090" s="34"/>
      <c r="C1090" s="34"/>
      <c r="D1090" s="34"/>
      <c r="E1090" s="481"/>
      <c r="F1090" s="77"/>
      <c r="G1090" s="35"/>
    </row>
    <row r="1091" spans="1:7" ht="13.5" thickBot="1">
      <c r="A1091" s="80" t="s">
        <v>589</v>
      </c>
      <c r="B1091" s="545" t="str">
        <f>Planilha!C117</f>
        <v>CORRIMÃO SIMPLES, DIÂMETRO EXTERNO = 1 1/2, EM AÇO GALVANIZADO. AF_04/2019_PS</v>
      </c>
      <c r="C1091" s="546"/>
      <c r="D1091" s="546"/>
      <c r="E1091" s="547"/>
      <c r="F1091" s="81">
        <f>C1096</f>
        <v>7.8</v>
      </c>
      <c r="G1091" s="80" t="s">
        <v>25</v>
      </c>
    </row>
    <row r="1092" spans="1:7" ht="12.75">
      <c r="A1092" s="33"/>
      <c r="B1092" s="34"/>
      <c r="C1092" s="34"/>
      <c r="D1092" s="34"/>
      <c r="E1092" s="481"/>
      <c r="F1092" s="434"/>
      <c r="G1092" s="35"/>
    </row>
    <row r="1093" spans="1:7" ht="12.75">
      <c r="A1093" s="33"/>
      <c r="B1093" s="114" t="s">
        <v>20</v>
      </c>
      <c r="C1093" s="463" t="s">
        <v>21</v>
      </c>
      <c r="D1093" s="261"/>
      <c r="E1093" s="261"/>
      <c r="F1093" s="77"/>
      <c r="G1093" s="35"/>
    </row>
    <row r="1094" spans="1:7" ht="12.75">
      <c r="A1094" s="33"/>
      <c r="B1094" s="464" t="s">
        <v>591</v>
      </c>
      <c r="C1094" s="458">
        <v>6.6</v>
      </c>
      <c r="D1094" s="41"/>
      <c r="E1094" s="41"/>
      <c r="F1094" s="77"/>
      <c r="G1094" s="35"/>
    </row>
    <row r="1095" spans="1:7" ht="13.5" thickBot="1">
      <c r="A1095" s="33"/>
      <c r="B1095" s="76" t="s">
        <v>597</v>
      </c>
      <c r="C1095" s="465">
        <v>1.2</v>
      </c>
      <c r="D1095" s="77"/>
      <c r="E1095" s="77"/>
      <c r="F1095" s="77"/>
      <c r="G1095" s="35"/>
    </row>
    <row r="1096" spans="1:7" ht="13.5" thickBot="1">
      <c r="A1096" s="33"/>
      <c r="B1096" s="352" t="s">
        <v>2</v>
      </c>
      <c r="C1096" s="223">
        <f>C1094+C1095</f>
        <v>7.8</v>
      </c>
      <c r="D1096" s="41"/>
      <c r="E1096" s="41"/>
      <c r="F1096" s="77"/>
      <c r="G1096" s="35"/>
    </row>
    <row r="1097" spans="1:7" ht="13.5" thickBot="1">
      <c r="A1097" s="33"/>
      <c r="B1097" s="269"/>
      <c r="C1097" s="77"/>
      <c r="D1097" s="41"/>
      <c r="E1097" s="41"/>
      <c r="F1097" s="77"/>
      <c r="G1097" s="35"/>
    </row>
    <row r="1098" spans="1:7" ht="13.5" thickBot="1">
      <c r="A1098" s="80" t="s">
        <v>592</v>
      </c>
      <c r="B1098" s="545" t="str">
        <f>Planilha!C118</f>
        <v>GUARDA-CORPO EM AÇO GALVANIZADO DIN 2440, D = 2", COM
SUBDIVISÕES EM TUBO DE AÇO D = 1/2", H = 1,05 M - COM
CORRIMÃO SIMPLES DE TUBO DE AÇO GALVANIZADO DE D = 1 1/
2"
</v>
      </c>
      <c r="C1098" s="546"/>
      <c r="D1098" s="546"/>
      <c r="E1098" s="547"/>
      <c r="F1098" s="81">
        <f>C1104</f>
        <v>9</v>
      </c>
      <c r="G1098" s="80" t="s">
        <v>25</v>
      </c>
    </row>
    <row r="1099" spans="1:7" ht="12.75">
      <c r="A1099" s="33"/>
      <c r="B1099" s="34"/>
      <c r="C1099" s="34"/>
      <c r="D1099" s="34"/>
      <c r="E1099" s="481"/>
      <c r="F1099" s="434"/>
      <c r="G1099" s="35"/>
    </row>
    <row r="1100" spans="1:7" ht="12.75">
      <c r="A1100" s="33"/>
      <c r="B1100" s="114" t="s">
        <v>20</v>
      </c>
      <c r="C1100" s="235" t="s">
        <v>21</v>
      </c>
      <c r="D1100" s="261"/>
      <c r="E1100" s="261"/>
      <c r="F1100" s="77"/>
      <c r="G1100" s="35"/>
    </row>
    <row r="1101" spans="1:7" ht="12.75">
      <c r="A1101" s="33"/>
      <c r="B1101" s="106" t="s">
        <v>591</v>
      </c>
      <c r="C1101" s="435">
        <v>6</v>
      </c>
      <c r="D1101" s="41"/>
      <c r="E1101" s="41"/>
      <c r="F1101" s="77"/>
      <c r="G1101" s="35"/>
    </row>
    <row r="1102" spans="1:7" ht="12.75">
      <c r="A1102" s="33"/>
      <c r="B1102" s="106" t="s">
        <v>597</v>
      </c>
      <c r="C1102" s="107">
        <v>0.9</v>
      </c>
      <c r="D1102" s="77"/>
      <c r="E1102" s="77"/>
      <c r="F1102" s="77"/>
      <c r="G1102" s="35"/>
    </row>
    <row r="1103" spans="1:7" ht="13.5" thickBot="1">
      <c r="A1103" s="33"/>
      <c r="B1103" s="76" t="s">
        <v>598</v>
      </c>
      <c r="C1103" s="239">
        <v>2.1</v>
      </c>
      <c r="D1103" s="77"/>
      <c r="E1103" s="77"/>
      <c r="F1103" s="77"/>
      <c r="G1103" s="35"/>
    </row>
    <row r="1104" spans="1:7" ht="13.5" thickBot="1">
      <c r="A1104" s="33"/>
      <c r="B1104" s="352" t="s">
        <v>2</v>
      </c>
      <c r="C1104" s="223">
        <f>C1101+C1102+C1103</f>
        <v>9</v>
      </c>
      <c r="D1104" s="41"/>
      <c r="E1104" s="41"/>
      <c r="F1104" s="77"/>
      <c r="G1104" s="35"/>
    </row>
    <row r="1105" spans="1:7" ht="13.5" thickBot="1">
      <c r="A1105" s="33"/>
      <c r="B1105" s="30"/>
      <c r="C1105" s="30"/>
      <c r="D1105" s="34"/>
      <c r="E1105" s="45"/>
      <c r="F1105" s="34"/>
      <c r="G1105" s="35"/>
    </row>
    <row r="1106" spans="1:7" ht="13.5" thickBot="1">
      <c r="A1106" s="80" t="s">
        <v>593</v>
      </c>
      <c r="B1106" s="545" t="str">
        <f>Planilha!C119</f>
        <v>ALVENARIA DE VEDAÇÃO COM BLOCO DE CONCRETO, ESP.14CM,
PARA REVESTIMENTO, INCLUSIVE ARGAMASSA PARA ASSENTAMENTO</v>
      </c>
      <c r="C1106" s="546"/>
      <c r="D1106" s="546"/>
      <c r="E1106" s="547"/>
      <c r="F1106" s="81">
        <f>F1113</f>
        <v>4.45</v>
      </c>
      <c r="G1106" s="80" t="s">
        <v>107</v>
      </c>
    </row>
    <row r="1107" spans="1:7" ht="12.75">
      <c r="A1107" s="33"/>
      <c r="B1107" s="34"/>
      <c r="C1107" s="34"/>
      <c r="D1107" s="34"/>
      <c r="E1107" s="481"/>
      <c r="F1107" s="434"/>
      <c r="G1107" s="35"/>
    </row>
    <row r="1108" spans="1:7" ht="12.75">
      <c r="A1108" s="33"/>
      <c r="B1108" s="52"/>
      <c r="C1108" s="114" t="s">
        <v>20</v>
      </c>
      <c r="D1108" s="114" t="s">
        <v>21</v>
      </c>
      <c r="E1108" s="114" t="s">
        <v>249</v>
      </c>
      <c r="F1108" s="451" t="s">
        <v>246</v>
      </c>
      <c r="G1108" s="35"/>
    </row>
    <row r="1109" spans="1:7" ht="12.75">
      <c r="A1109" s="33"/>
      <c r="B1109" s="52"/>
      <c r="C1109" s="76" t="s">
        <v>590</v>
      </c>
      <c r="D1109" s="239">
        <v>6</v>
      </c>
      <c r="E1109" s="239">
        <v>0.5</v>
      </c>
      <c r="F1109" s="239">
        <f>(D1109*E1109)/2</f>
        <v>1.5</v>
      </c>
      <c r="G1109" s="35"/>
    </row>
    <row r="1110" spans="1:7" ht="12.75">
      <c r="A1110" s="33"/>
      <c r="B1110" s="52"/>
      <c r="C1110" s="106" t="s">
        <v>598</v>
      </c>
      <c r="D1110" s="107">
        <v>2.1</v>
      </c>
      <c r="E1110" s="107">
        <v>0.5</v>
      </c>
      <c r="F1110" s="107">
        <f>D1110*E1110</f>
        <v>1.05</v>
      </c>
      <c r="G1110" s="35"/>
    </row>
    <row r="1111" spans="1:7" ht="12.75">
      <c r="A1111" s="33"/>
      <c r="B1111" s="52"/>
      <c r="C1111" s="106" t="s">
        <v>606</v>
      </c>
      <c r="D1111" s="107">
        <v>1.5</v>
      </c>
      <c r="E1111" s="107">
        <v>0.5</v>
      </c>
      <c r="F1111" s="107">
        <f>D1111*E1111</f>
        <v>0.75</v>
      </c>
      <c r="G1111" s="35"/>
    </row>
    <row r="1112" spans="1:7" ht="12.75">
      <c r="A1112" s="33"/>
      <c r="B1112" s="52"/>
      <c r="C1112" s="106" t="s">
        <v>597</v>
      </c>
      <c r="D1112" s="107">
        <v>1.5</v>
      </c>
      <c r="E1112" s="107"/>
      <c r="F1112" s="107">
        <v>1.15</v>
      </c>
      <c r="G1112" s="35"/>
    </row>
    <row r="1113" spans="1:7" ht="13.5" thickBot="1">
      <c r="A1113" s="33"/>
      <c r="B1113" s="70"/>
      <c r="C1113" s="41"/>
      <c r="D1113" s="52"/>
      <c r="E1113" s="468" t="s">
        <v>2</v>
      </c>
      <c r="F1113" s="469">
        <f>SUM(F1109:F1112)</f>
        <v>4.45</v>
      </c>
      <c r="G1113" s="35"/>
    </row>
    <row r="1114" spans="1:7" ht="13.5" thickBot="1">
      <c r="A1114" s="33"/>
      <c r="B1114" s="70"/>
      <c r="C1114" s="41"/>
      <c r="D1114" s="52"/>
      <c r="E1114" s="462"/>
      <c r="F1114" s="77"/>
      <c r="G1114" s="35"/>
    </row>
    <row r="1115" spans="1:7" ht="13.5" thickBot="1">
      <c r="A1115" s="80" t="s">
        <v>600</v>
      </c>
      <c r="B1115" s="545" t="str">
        <f>Planilha!C120</f>
        <v>PISO EM CONCRETO, PREPARADO EM OBRA COM BETONEIRA, FCK 10MPA, SEM ARMAÇÃO, ACABAMENTO RÚSTICO, ESP. 5CM, INCLUSIVE FORNECIMENTO, LANÇAMENTO, ADENSAMENTO, SARRAFEAMENTO, EXCLUSIVE JUNTA DE DILATAÇÃO</v>
      </c>
      <c r="C1115" s="546"/>
      <c r="D1115" s="546"/>
      <c r="E1115" s="547"/>
      <c r="F1115" s="81">
        <f>E1122</f>
        <v>47.59</v>
      </c>
      <c r="G1115" s="80" t="s">
        <v>107</v>
      </c>
    </row>
    <row r="1116" spans="1:7" ht="12.75">
      <c r="A1116" s="33"/>
      <c r="B1116" s="70"/>
      <c r="C1116" s="41"/>
      <c r="D1116" s="52"/>
      <c r="E1116" s="462"/>
      <c r="F1116" s="77"/>
      <c r="G1116" s="35"/>
    </row>
    <row r="1117" spans="1:7" ht="12.75">
      <c r="A1117" s="33"/>
      <c r="B1117" s="475" t="s">
        <v>20</v>
      </c>
      <c r="C1117" s="451" t="s">
        <v>245</v>
      </c>
      <c r="D1117" s="209" t="s">
        <v>238</v>
      </c>
      <c r="E1117" s="209" t="s">
        <v>246</v>
      </c>
      <c r="F1117" s="77"/>
      <c r="G1117" s="392"/>
    </row>
    <row r="1118" spans="1:7" ht="12.75">
      <c r="A1118" s="33"/>
      <c r="B1118" s="106" t="s">
        <v>591</v>
      </c>
      <c r="C1118" s="107">
        <v>1.5</v>
      </c>
      <c r="D1118" s="286">
        <v>6</v>
      </c>
      <c r="E1118" s="286">
        <f>C1118*D1118</f>
        <v>9</v>
      </c>
      <c r="F1118" s="77"/>
      <c r="G1118" s="392"/>
    </row>
    <row r="1119" spans="1:7" ht="12.75">
      <c r="A1119" s="33"/>
      <c r="B1119" s="106" t="s">
        <v>605</v>
      </c>
      <c r="C1119" s="107">
        <v>1.5</v>
      </c>
      <c r="D1119" s="210">
        <v>2.1</v>
      </c>
      <c r="E1119" s="286">
        <f>C1119*D1119</f>
        <v>3.15</v>
      </c>
      <c r="F1119" s="77"/>
      <c r="G1119" s="392"/>
    </row>
    <row r="1120" spans="1:7" ht="12.75">
      <c r="A1120" s="33"/>
      <c r="B1120" s="106" t="s">
        <v>597</v>
      </c>
      <c r="C1120" s="107">
        <v>1.5</v>
      </c>
      <c r="D1120" s="210">
        <v>0.9</v>
      </c>
      <c r="E1120" s="286">
        <f>C1120*D1120</f>
        <v>1.35</v>
      </c>
      <c r="F1120" s="77"/>
      <c r="G1120" s="392"/>
    </row>
    <row r="1121" spans="1:7" ht="12.75">
      <c r="A1121" s="33"/>
      <c r="B1121" s="106" t="s">
        <v>607</v>
      </c>
      <c r="C1121" s="107">
        <v>24.35</v>
      </c>
      <c r="D1121" s="210">
        <v>1.4</v>
      </c>
      <c r="E1121" s="286">
        <f>C1121*D1121</f>
        <v>34.09</v>
      </c>
      <c r="F1121" s="77"/>
      <c r="G1121" s="392"/>
    </row>
    <row r="1122" spans="1:7" ht="13.5" thickBot="1">
      <c r="A1122" s="33"/>
      <c r="B1122" s="70"/>
      <c r="C1122" s="41"/>
      <c r="D1122" s="510" t="s">
        <v>69</v>
      </c>
      <c r="E1122" s="511">
        <f>SUM(E1118:E1121)</f>
        <v>47.59</v>
      </c>
      <c r="F1122" s="77"/>
      <c r="G1122" s="392"/>
    </row>
    <row r="1123" spans="1:7" ht="13.5" thickBot="1">
      <c r="A1123" s="33"/>
      <c r="B1123" s="70"/>
      <c r="C1123" s="41"/>
      <c r="D1123" s="436"/>
      <c r="E1123" s="268"/>
      <c r="F1123" s="77"/>
      <c r="G1123" s="392"/>
    </row>
    <row r="1124" spans="1:7" ht="13.5" thickBot="1">
      <c r="A1124" s="80" t="s">
        <v>589</v>
      </c>
      <c r="B1124" s="545" t="str">
        <f>Planilha!C121</f>
        <v>CONTRAPISO DESEMPENADO COM ARGAMASSA,
TRAÇO 1:3 (CIMENTO E AREIA), ESP. 20MM</v>
      </c>
      <c r="C1124" s="546"/>
      <c r="D1124" s="546"/>
      <c r="E1124" s="547"/>
      <c r="F1124" s="81">
        <f>E1129</f>
        <v>47.59</v>
      </c>
      <c r="G1124" s="80" t="s">
        <v>107</v>
      </c>
    </row>
    <row r="1125" spans="1:7" ht="12.75">
      <c r="A1125" s="33"/>
      <c r="B1125" s="34"/>
      <c r="C1125" s="34"/>
      <c r="D1125" s="34"/>
      <c r="E1125" s="481"/>
      <c r="F1125" s="434"/>
      <c r="G1125" s="35"/>
    </row>
    <row r="1126" spans="1:7" ht="12.75">
      <c r="A1126" s="33"/>
      <c r="B1126" s="114" t="s">
        <v>20</v>
      </c>
      <c r="C1126" s="114" t="s">
        <v>21</v>
      </c>
      <c r="D1126" s="114" t="s">
        <v>26</v>
      </c>
      <c r="E1126" s="114" t="s">
        <v>23</v>
      </c>
      <c r="F1126" s="77"/>
      <c r="G1126" s="35"/>
    </row>
    <row r="1127" spans="1:7" ht="12.75">
      <c r="A1127" s="33"/>
      <c r="B1127" s="106" t="s">
        <v>627</v>
      </c>
      <c r="C1127" s="107">
        <v>1.5</v>
      </c>
      <c r="D1127" s="107">
        <v>9</v>
      </c>
      <c r="E1127" s="107">
        <f>C1127*D1127</f>
        <v>13.5</v>
      </c>
      <c r="F1127" s="77"/>
      <c r="G1127" s="35"/>
    </row>
    <row r="1128" spans="1:7" ht="12.75">
      <c r="A1128" s="33"/>
      <c r="B1128" s="106" t="s">
        <v>607</v>
      </c>
      <c r="C1128" s="107">
        <v>24.35</v>
      </c>
      <c r="D1128" s="107">
        <v>1.4</v>
      </c>
      <c r="E1128" s="107">
        <f>C1128*D1128</f>
        <v>34.09</v>
      </c>
      <c r="F1128" s="77"/>
      <c r="G1128" s="35"/>
    </row>
    <row r="1129" spans="1:7" ht="13.5" thickBot="1">
      <c r="A1129" s="33"/>
      <c r="B1129" s="70"/>
      <c r="C1129" s="41"/>
      <c r="D1129" s="510" t="s">
        <v>2</v>
      </c>
      <c r="E1129" s="512">
        <f>E1127+E1128</f>
        <v>47.59</v>
      </c>
      <c r="F1129" s="77"/>
      <c r="G1129" s="35"/>
    </row>
    <row r="1130" spans="1:7" ht="13.5" thickBot="1">
      <c r="A1130" s="33"/>
      <c r="B1130" s="70"/>
      <c r="C1130" s="41"/>
      <c r="D1130" s="466"/>
      <c r="E1130" s="467"/>
      <c r="F1130" s="77"/>
      <c r="G1130" s="35"/>
    </row>
    <row r="1131" spans="1:7" ht="13.5" thickBot="1">
      <c r="A1131" s="80" t="s">
        <v>609</v>
      </c>
      <c r="B1131" s="545" t="str">
        <f>Planilha!C122</f>
        <v>ATERRO COMPACTADO MANUAL, COM SOQUETE</v>
      </c>
      <c r="C1131" s="546"/>
      <c r="D1131" s="546"/>
      <c r="E1131" s="547"/>
      <c r="F1131" s="81">
        <f>F1136</f>
        <v>6.08</v>
      </c>
      <c r="G1131" s="80" t="s">
        <v>108</v>
      </c>
    </row>
    <row r="1132" spans="1:7" ht="12.75">
      <c r="A1132" s="33"/>
      <c r="B1132" s="70"/>
      <c r="C1132" s="41"/>
      <c r="D1132" s="52"/>
      <c r="E1132" s="462"/>
      <c r="F1132" s="77"/>
      <c r="G1132" s="35"/>
    </row>
    <row r="1133" spans="1:7" ht="12.75">
      <c r="A1133" s="33"/>
      <c r="B1133" s="475" t="s">
        <v>20</v>
      </c>
      <c r="C1133" s="451" t="s">
        <v>245</v>
      </c>
      <c r="D1133" s="209" t="s">
        <v>238</v>
      </c>
      <c r="E1133" s="473" t="s">
        <v>249</v>
      </c>
      <c r="F1133" s="451" t="s">
        <v>218</v>
      </c>
      <c r="G1133" s="392"/>
    </row>
    <row r="1134" spans="1:7" ht="12.75">
      <c r="A1134" s="33"/>
      <c r="B1134" s="106" t="s">
        <v>591</v>
      </c>
      <c r="C1134" s="107">
        <v>1.5</v>
      </c>
      <c r="D1134" s="286">
        <v>6</v>
      </c>
      <c r="E1134" s="474">
        <v>0.5</v>
      </c>
      <c r="F1134" s="107">
        <f>(C1134*D1134)/2</f>
        <v>4.5</v>
      </c>
      <c r="G1134" s="392"/>
    </row>
    <row r="1135" spans="1:7" ht="13.5" thickBot="1">
      <c r="A1135" s="33"/>
      <c r="B1135" s="106" t="s">
        <v>605</v>
      </c>
      <c r="C1135" s="107">
        <v>1.5</v>
      </c>
      <c r="D1135" s="210">
        <v>2.1</v>
      </c>
      <c r="E1135" s="474">
        <v>0.5</v>
      </c>
      <c r="F1135" s="107">
        <f>(C1135*D1135)/2</f>
        <v>1.58</v>
      </c>
      <c r="G1135" s="392"/>
    </row>
    <row r="1136" spans="1:7" ht="13.5" thickBot="1">
      <c r="A1136" s="33"/>
      <c r="B1136" s="70"/>
      <c r="C1136" s="41"/>
      <c r="D1136" s="52"/>
      <c r="E1136" s="87" t="s">
        <v>2</v>
      </c>
      <c r="F1136" s="372">
        <f>F1134+F1135</f>
        <v>6.08</v>
      </c>
      <c r="G1136" s="392"/>
    </row>
    <row r="1137" spans="1:7" ht="13.5" thickBot="1">
      <c r="A1137" s="33"/>
      <c r="B1137" s="269"/>
      <c r="C1137" s="77"/>
      <c r="D1137" s="472"/>
      <c r="E1137" s="472"/>
      <c r="F1137" s="77"/>
      <c r="G1137" s="392"/>
    </row>
    <row r="1138" spans="1:7" ht="12.75">
      <c r="A1138" s="29"/>
      <c r="B1138" s="30"/>
      <c r="C1138" s="30"/>
      <c r="D1138" s="30"/>
      <c r="E1138" s="31"/>
      <c r="F1138" s="30"/>
      <c r="G1138" s="32"/>
    </row>
    <row r="1139" spans="1:7" ht="12.75">
      <c r="A1139" s="116"/>
      <c r="B1139" s="592"/>
      <c r="C1139" s="592"/>
      <c r="D1139" s="117"/>
      <c r="E1139" s="592" t="s">
        <v>199</v>
      </c>
      <c r="F1139" s="592"/>
      <c r="G1139" s="98"/>
    </row>
    <row r="1140" spans="1:7" ht="12.75">
      <c r="A1140" s="116"/>
      <c r="B1140" s="593" t="s">
        <v>198</v>
      </c>
      <c r="C1140" s="593"/>
      <c r="D1140" s="117"/>
      <c r="E1140" s="593" t="s">
        <v>87</v>
      </c>
      <c r="F1140" s="593"/>
      <c r="G1140" s="99"/>
    </row>
    <row r="1141" spans="1:7" ht="12.75">
      <c r="A1141" s="118"/>
      <c r="B1141" s="119"/>
      <c r="C1141" s="117"/>
      <c r="D1141" s="119"/>
      <c r="E1141" s="119"/>
      <c r="F1141" s="119"/>
      <c r="G1141" s="100"/>
    </row>
    <row r="1142" spans="1:7" ht="12.75">
      <c r="A1142" s="118"/>
      <c r="B1142" s="119"/>
      <c r="C1142" s="117"/>
      <c r="D1142" s="119"/>
      <c r="E1142" s="119"/>
      <c r="F1142" s="119"/>
      <c r="G1142" s="100"/>
    </row>
    <row r="1143" spans="1:7" ht="12.75">
      <c r="A1143" s="116"/>
      <c r="B1143" s="592"/>
      <c r="C1143" s="592"/>
      <c r="D1143" s="102"/>
      <c r="E1143" s="589"/>
      <c r="F1143" s="589"/>
      <c r="G1143" s="98"/>
    </row>
    <row r="1144" spans="1:7" ht="12.75" customHeight="1">
      <c r="A1144" s="590" t="s">
        <v>88</v>
      </c>
      <c r="B1144" s="591"/>
      <c r="C1144" s="591"/>
      <c r="D1144" s="591"/>
      <c r="E1144" s="589"/>
      <c r="F1144" s="589"/>
      <c r="G1144" s="99"/>
    </row>
    <row r="1145" spans="1:7" ht="12.75">
      <c r="A1145" s="54"/>
      <c r="B1145" s="52"/>
      <c r="C1145" s="120"/>
      <c r="D1145" s="52"/>
      <c r="E1145" s="52"/>
      <c r="F1145" s="52"/>
      <c r="G1145" s="55"/>
    </row>
    <row r="1146" spans="1:7" ht="13.5" thickBot="1">
      <c r="A1146" s="64"/>
      <c r="B1146" s="97"/>
      <c r="C1146" s="97"/>
      <c r="D1146" s="97"/>
      <c r="E1146" s="56"/>
      <c r="F1146" s="83"/>
      <c r="G1146" s="61"/>
    </row>
    <row r="1147" spans="1:7" ht="12.75">
      <c r="A1147" s="69"/>
      <c r="B1147" s="70"/>
      <c r="C1147" s="41"/>
      <c r="D1147" s="41"/>
      <c r="E1147" s="41"/>
      <c r="F1147" s="41"/>
      <c r="G1147" s="34"/>
    </row>
    <row r="1148" spans="1:7" ht="12.75">
      <c r="A1148" s="45"/>
      <c r="B1148" s="34"/>
      <c r="C1148" s="34"/>
      <c r="D1148" s="52"/>
      <c r="E1148" s="36"/>
      <c r="F1148" s="37"/>
      <c r="G1148" s="34"/>
    </row>
    <row r="1149" spans="1:7" ht="12.75">
      <c r="A1149" s="33"/>
      <c r="B1149" s="34"/>
      <c r="C1149" s="34"/>
      <c r="D1149" s="34"/>
      <c r="E1149" s="45"/>
      <c r="F1149" s="34"/>
      <c r="G1149" s="34"/>
    </row>
    <row r="1150" spans="2:7" ht="12.75">
      <c r="B1150" s="52"/>
      <c r="C1150" s="52"/>
      <c r="D1150" s="52"/>
      <c r="E1150" s="52"/>
      <c r="F1150" s="52"/>
      <c r="G1150" s="52"/>
    </row>
    <row r="1151" spans="2:6" ht="12.75">
      <c r="B1151">
        <v>1</v>
      </c>
      <c r="C1151">
        <v>2.93</v>
      </c>
      <c r="D1151">
        <v>0.15</v>
      </c>
      <c r="E1151">
        <v>0.05</v>
      </c>
      <c r="F1151">
        <f aca="true" t="shared" si="35" ref="F1151:F1169">E1151*D1151*C1151</f>
        <v>0.021975</v>
      </c>
    </row>
    <row r="1152" spans="2:15" ht="15" customHeight="1">
      <c r="B1152">
        <v>2</v>
      </c>
      <c r="C1152">
        <v>3</v>
      </c>
      <c r="D1152">
        <v>0.15</v>
      </c>
      <c r="E1152">
        <v>0.05</v>
      </c>
      <c r="F1152">
        <f t="shared" si="35"/>
        <v>0.0225</v>
      </c>
      <c r="O1152" s="52"/>
    </row>
    <row r="1153" spans="2:6" ht="12.75">
      <c r="B1153">
        <v>3</v>
      </c>
      <c r="C1153">
        <v>3.6</v>
      </c>
      <c r="D1153">
        <v>0.15</v>
      </c>
      <c r="E1153">
        <v>0.05</v>
      </c>
      <c r="F1153">
        <f t="shared" si="35"/>
        <v>0.027</v>
      </c>
    </row>
    <row r="1154" spans="2:6" ht="12.75">
      <c r="B1154">
        <v>4</v>
      </c>
      <c r="C1154">
        <v>2.93</v>
      </c>
      <c r="D1154">
        <v>0.15</v>
      </c>
      <c r="E1154">
        <v>0.05</v>
      </c>
      <c r="F1154">
        <f t="shared" si="35"/>
        <v>0.021975</v>
      </c>
    </row>
    <row r="1155" spans="2:15" ht="15" customHeight="1">
      <c r="B1155">
        <v>5</v>
      </c>
      <c r="C1155">
        <v>3.08</v>
      </c>
      <c r="D1155">
        <v>0.15</v>
      </c>
      <c r="E1155">
        <v>0.05</v>
      </c>
      <c r="F1155">
        <f t="shared" si="35"/>
        <v>0.0231</v>
      </c>
      <c r="O1155" s="52"/>
    </row>
    <row r="1156" spans="2:6" ht="12.75">
      <c r="B1156">
        <v>6</v>
      </c>
      <c r="C1156">
        <v>3.23</v>
      </c>
      <c r="D1156">
        <v>0.15</v>
      </c>
      <c r="E1156">
        <v>0.05</v>
      </c>
      <c r="F1156">
        <f t="shared" si="35"/>
        <v>0.024225</v>
      </c>
    </row>
    <row r="1157" spans="2:6" ht="12.75">
      <c r="B1157">
        <v>7</v>
      </c>
      <c r="C1157">
        <v>3.6</v>
      </c>
      <c r="D1157">
        <v>0.15</v>
      </c>
      <c r="E1157">
        <v>0.05</v>
      </c>
      <c r="F1157">
        <f t="shared" si="35"/>
        <v>0.027</v>
      </c>
    </row>
    <row r="1158" spans="2:6" ht="12.75">
      <c r="B1158">
        <v>8</v>
      </c>
      <c r="C1158">
        <v>2.93</v>
      </c>
      <c r="D1158">
        <v>0.15</v>
      </c>
      <c r="E1158">
        <v>0.05</v>
      </c>
      <c r="F1158">
        <f t="shared" si="35"/>
        <v>0.021975</v>
      </c>
    </row>
    <row r="1159" spans="2:6" ht="12.75">
      <c r="B1159">
        <v>9</v>
      </c>
      <c r="C1159">
        <v>5.4</v>
      </c>
      <c r="D1159">
        <v>0.15</v>
      </c>
      <c r="E1159">
        <v>0.05</v>
      </c>
      <c r="F1159">
        <f t="shared" si="35"/>
        <v>0.0405</v>
      </c>
    </row>
    <row r="1160" spans="2:6" ht="15" customHeight="1">
      <c r="B1160">
        <v>10</v>
      </c>
      <c r="C1160">
        <v>4.43</v>
      </c>
      <c r="D1160">
        <v>0.15</v>
      </c>
      <c r="E1160">
        <v>0.05</v>
      </c>
      <c r="F1160">
        <f t="shared" si="35"/>
        <v>0.033225</v>
      </c>
    </row>
    <row r="1161" spans="2:6" ht="15" customHeight="1">
      <c r="B1161">
        <v>11</v>
      </c>
      <c r="C1161">
        <v>2.08</v>
      </c>
      <c r="D1161">
        <v>0.15</v>
      </c>
      <c r="E1161">
        <v>0.05</v>
      </c>
      <c r="F1161">
        <f t="shared" si="35"/>
        <v>0.0156</v>
      </c>
    </row>
    <row r="1162" spans="2:6" ht="24" customHeight="1">
      <c r="B1162">
        <v>12</v>
      </c>
      <c r="C1162">
        <v>1.63</v>
      </c>
      <c r="D1162">
        <v>0.15</v>
      </c>
      <c r="E1162">
        <v>0.05</v>
      </c>
      <c r="F1162">
        <f t="shared" si="35"/>
        <v>0.012225</v>
      </c>
    </row>
    <row r="1163" spans="2:6" ht="12.75">
      <c r="B1163">
        <v>13</v>
      </c>
      <c r="D1163">
        <v>0.15</v>
      </c>
      <c r="E1163">
        <v>0.05</v>
      </c>
      <c r="F1163">
        <f t="shared" si="35"/>
        <v>0</v>
      </c>
    </row>
    <row r="1164" spans="2:6" ht="12.75">
      <c r="B1164">
        <v>14</v>
      </c>
      <c r="C1164">
        <v>1.7</v>
      </c>
      <c r="D1164">
        <v>0.15</v>
      </c>
      <c r="E1164">
        <v>0.05</v>
      </c>
      <c r="F1164">
        <f t="shared" si="35"/>
        <v>0.01275</v>
      </c>
    </row>
    <row r="1165" spans="2:6" ht="12.75">
      <c r="B1165">
        <v>15</v>
      </c>
      <c r="C1165">
        <v>2.6</v>
      </c>
      <c r="D1165">
        <v>0.15</v>
      </c>
      <c r="E1165">
        <v>0.05</v>
      </c>
      <c r="F1165">
        <f t="shared" si="35"/>
        <v>0.0195</v>
      </c>
    </row>
    <row r="1166" spans="2:6" ht="12.75">
      <c r="B1166">
        <v>16</v>
      </c>
      <c r="C1166">
        <v>1.25</v>
      </c>
      <c r="D1166">
        <v>0.15</v>
      </c>
      <c r="E1166">
        <v>0.05</v>
      </c>
      <c r="F1166">
        <f t="shared" si="35"/>
        <v>0.009375</v>
      </c>
    </row>
    <row r="1167" spans="2:6" ht="12.75">
      <c r="B1167">
        <v>17</v>
      </c>
      <c r="C1167">
        <v>2.75</v>
      </c>
      <c r="D1167">
        <v>0.15</v>
      </c>
      <c r="E1167">
        <v>0.05</v>
      </c>
      <c r="F1167">
        <f t="shared" si="35"/>
        <v>0.020625</v>
      </c>
    </row>
    <row r="1168" spans="2:6" ht="12.75">
      <c r="B1168">
        <v>18</v>
      </c>
      <c r="C1168">
        <v>3.7</v>
      </c>
      <c r="D1168">
        <v>0.15</v>
      </c>
      <c r="E1168">
        <v>0.05</v>
      </c>
      <c r="F1168">
        <f t="shared" si="35"/>
        <v>0.02775</v>
      </c>
    </row>
    <row r="1169" spans="2:6" ht="12.75">
      <c r="B1169">
        <v>19</v>
      </c>
      <c r="C1169">
        <v>2.03</v>
      </c>
      <c r="D1169">
        <v>0.15</v>
      </c>
      <c r="E1169">
        <v>0.05</v>
      </c>
      <c r="F1169">
        <f t="shared" si="35"/>
        <v>0.015225</v>
      </c>
    </row>
    <row r="1170" ht="12.75">
      <c r="F1170">
        <f>SUM(F1151:F1169)</f>
        <v>0.396525</v>
      </c>
    </row>
    <row r="1171" ht="12.75" customHeight="1"/>
    <row r="1176" ht="12.75">
      <c r="K1176" s="101"/>
    </row>
    <row r="1177" ht="29.25" customHeight="1"/>
    <row r="1181" ht="12.75">
      <c r="K1181" s="95"/>
    </row>
    <row r="1182" ht="12.75">
      <c r="K1182" s="95"/>
    </row>
    <row r="1183" ht="12.75">
      <c r="K1183" s="95"/>
    </row>
    <row r="1184" ht="13.5" customHeight="1">
      <c r="K1184" s="95"/>
    </row>
    <row r="1185" spans="8:11" ht="11.25" customHeight="1">
      <c r="H1185" s="85"/>
      <c r="K1185" s="95"/>
    </row>
    <row r="1186" spans="8:11" ht="12.75">
      <c r="H1186" s="96"/>
      <c r="K1186" s="95"/>
    </row>
    <row r="1187" spans="8:11" ht="12.75">
      <c r="H1187" s="59"/>
      <c r="K1187" s="95"/>
    </row>
    <row r="1188" ht="12.75">
      <c r="H1188" s="59"/>
    </row>
    <row r="1189" ht="11.25" customHeight="1">
      <c r="H1189" s="85"/>
    </row>
    <row r="1190" ht="12.75" customHeight="1">
      <c r="H1190" s="96"/>
    </row>
    <row r="1191" ht="12" customHeight="1"/>
    <row r="1192" ht="15" customHeight="1"/>
    <row r="1193" ht="12.75">
      <c r="H1193" s="52"/>
    </row>
    <row r="1194" ht="12.75">
      <c r="H1194" s="52"/>
    </row>
    <row r="1195" ht="12.75">
      <c r="H1195" s="52"/>
    </row>
    <row r="1196" ht="12.75">
      <c r="H1196" s="52"/>
    </row>
  </sheetData>
  <sheetProtection/>
  <mergeCells count="122">
    <mergeCell ref="B1115:E1115"/>
    <mergeCell ref="B605:E605"/>
    <mergeCell ref="B613:E613"/>
    <mergeCell ref="B488:E488"/>
    <mergeCell ref="B548:E548"/>
    <mergeCell ref="B1083:G1083"/>
    <mergeCell ref="B385:E385"/>
    <mergeCell ref="B410:E410"/>
    <mergeCell ref="B444:E444"/>
    <mergeCell ref="B771:E771"/>
    <mergeCell ref="B546:G546"/>
    <mergeCell ref="B442:G442"/>
    <mergeCell ref="B1085:E1085"/>
    <mergeCell ref="B567:E567"/>
    <mergeCell ref="B450:E450"/>
    <mergeCell ref="C452:F452"/>
    <mergeCell ref="B281:E281"/>
    <mergeCell ref="B293:E293"/>
    <mergeCell ref="B219:E219"/>
    <mergeCell ref="B517:E517"/>
    <mergeCell ref="B627:E627"/>
    <mergeCell ref="B110:E110"/>
    <mergeCell ref="B90:G90"/>
    <mergeCell ref="B287:E287"/>
    <mergeCell ref="C203:F203"/>
    <mergeCell ref="B201:E201"/>
    <mergeCell ref="B904:E904"/>
    <mergeCell ref="B599:E599"/>
    <mergeCell ref="B1131:E1131"/>
    <mergeCell ref="B436:E436"/>
    <mergeCell ref="B597:G597"/>
    <mergeCell ref="B25:E25"/>
    <mergeCell ref="B460:E460"/>
    <mergeCell ref="C462:F462"/>
    <mergeCell ref="B483:E483"/>
    <mergeCell ref="B303:E303"/>
    <mergeCell ref="B1018:E1018"/>
    <mergeCell ref="B873:E873"/>
    <mergeCell ref="B911:E911"/>
    <mergeCell ref="B920:E920"/>
    <mergeCell ref="B930:E930"/>
    <mergeCell ref="B939:E939"/>
    <mergeCell ref="B895:G895"/>
    <mergeCell ref="B752:E752"/>
    <mergeCell ref="B992:E992"/>
    <mergeCell ref="B226:G226"/>
    <mergeCell ref="B229:E229"/>
    <mergeCell ref="B244:E244"/>
    <mergeCell ref="B258:E258"/>
    <mergeCell ref="B274:E274"/>
    <mergeCell ref="B19:E19"/>
    <mergeCell ref="C211:F211"/>
    <mergeCell ref="B66:E66"/>
    <mergeCell ref="B101:E101"/>
    <mergeCell ref="E1144:F1144"/>
    <mergeCell ref="A1144:D1144"/>
    <mergeCell ref="B132:E132"/>
    <mergeCell ref="A135:A136"/>
    <mergeCell ref="A137:A141"/>
    <mergeCell ref="B1139:C1139"/>
    <mergeCell ref="E1139:F1139"/>
    <mergeCell ref="B1140:C1140"/>
    <mergeCell ref="E1140:F1140"/>
    <mergeCell ref="B1143:C1143"/>
    <mergeCell ref="E1143:F1143"/>
    <mergeCell ref="B1039:E1039"/>
    <mergeCell ref="B1058:E1058"/>
    <mergeCell ref="B1005:E1005"/>
    <mergeCell ref="B947:E947"/>
    <mergeCell ref="B977:E977"/>
    <mergeCell ref="B690:G690"/>
    <mergeCell ref="B654:E654"/>
    <mergeCell ref="B1027:E1027"/>
    <mergeCell ref="B692:E692"/>
    <mergeCell ref="B998:E998"/>
    <mergeCell ref="B850:E850"/>
    <mergeCell ref="A2:G2"/>
    <mergeCell ref="B17:G17"/>
    <mergeCell ref="B31:E31"/>
    <mergeCell ref="A491:A492"/>
    <mergeCell ref="A493:A494"/>
    <mergeCell ref="A305:A312"/>
    <mergeCell ref="B335:E335"/>
    <mergeCell ref="B351:E351"/>
    <mergeCell ref="B383:G383"/>
    <mergeCell ref="B45:E45"/>
    <mergeCell ref="B143:E143"/>
    <mergeCell ref="B155:E155"/>
    <mergeCell ref="B178:E178"/>
    <mergeCell ref="A113:A114"/>
    <mergeCell ref="B68:E68"/>
    <mergeCell ref="B301:G301"/>
    <mergeCell ref="B377:E377"/>
    <mergeCell ref="B320:E320"/>
    <mergeCell ref="B400:E400"/>
    <mergeCell ref="B4:G4"/>
    <mergeCell ref="B6:E6"/>
    <mergeCell ref="B12:E12"/>
    <mergeCell ref="B679:E679"/>
    <mergeCell ref="B393:E393"/>
    <mergeCell ref="B1124:E1124"/>
    <mergeCell ref="B1091:E1091"/>
    <mergeCell ref="B1098:E1098"/>
    <mergeCell ref="B471:E471"/>
    <mergeCell ref="C473:F473"/>
    <mergeCell ref="B641:E641"/>
    <mergeCell ref="B832:G832"/>
    <mergeCell ref="B723:E723"/>
    <mergeCell ref="B803:E803"/>
    <mergeCell ref="B830:E830"/>
    <mergeCell ref="B1106:E1106"/>
    <mergeCell ref="B1025:G1025"/>
    <mergeCell ref="B598:G598"/>
    <mergeCell ref="B587:E587"/>
    <mergeCell ref="B953:E953"/>
    <mergeCell ref="B971:E971"/>
    <mergeCell ref="B986:E986"/>
    <mergeCell ref="B1011:E1011"/>
    <mergeCell ref="B882:E882"/>
    <mergeCell ref="B937:F937"/>
    <mergeCell ref="B897:E897"/>
    <mergeCell ref="B962:E962"/>
  </mergeCells>
  <printOptions/>
  <pageMargins left="0.511811024" right="0.511811024" top="0.787401575" bottom="0.787401575" header="0.31496062" footer="0.31496062"/>
  <pageSetup fitToHeight="0" fitToWidth="0" horizontalDpi="360" verticalDpi="360" orientation="portrait" paperSize="9" scale="70" r:id="rId2"/>
  <drawing r:id="rId1"/>
</worksheet>
</file>

<file path=xl/worksheets/sheet2.xml><?xml version="1.0" encoding="utf-8"?>
<worksheet xmlns="http://schemas.openxmlformats.org/spreadsheetml/2006/main" xmlns:r="http://schemas.openxmlformats.org/officeDocument/2006/relationships">
  <sheetPr>
    <tabColor rgb="FF002060"/>
  </sheetPr>
  <dimension ref="A1:IV136"/>
  <sheetViews>
    <sheetView showGridLines="0" showZeros="0" tabSelected="1" view="pageBreakPreview" zoomScaleSheetLayoutView="100" zoomScalePageLayoutView="0" workbookViewId="0" topLeftCell="K118">
      <pane xSplit="2868" topLeftCell="A1" activePane="topRight" state="split"/>
      <selection pane="topLeft" activeCell="K51" sqref="A51:IV51"/>
      <selection pane="topRight" activeCell="N52" sqref="N52"/>
    </sheetView>
  </sheetViews>
  <sheetFormatPr defaultColWidth="9.140625" defaultRowHeight="12.75"/>
  <cols>
    <col min="1" max="1" width="5.421875" style="0" bestFit="1" customWidth="1"/>
    <col min="2" max="2" width="10.7109375" style="0" bestFit="1" customWidth="1"/>
    <col min="3" max="3" width="48.00390625" style="151" customWidth="1"/>
    <col min="5" max="5" width="13.00390625" style="0" customWidth="1"/>
    <col min="6" max="8" width="12.28125" style="0" customWidth="1"/>
    <col min="9" max="9" width="0" style="0" hidden="1" customWidth="1"/>
    <col min="10" max="10" width="13.140625" style="0" hidden="1" customWidth="1"/>
    <col min="11" max="11" width="11.7109375" style="0" bestFit="1" customWidth="1"/>
    <col min="12" max="12" width="11.8515625" style="0" customWidth="1"/>
  </cols>
  <sheetData>
    <row r="1" spans="1:8" ht="69.75" customHeight="1">
      <c r="A1" s="602"/>
      <c r="B1" s="603"/>
      <c r="C1" s="604"/>
      <c r="D1" s="604"/>
      <c r="E1" s="604"/>
      <c r="F1" s="604"/>
      <c r="G1" s="604"/>
      <c r="H1" s="605"/>
    </row>
    <row r="2" spans="1:8" ht="3.75" customHeight="1" thickBot="1">
      <c r="A2" s="606"/>
      <c r="B2" s="607"/>
      <c r="C2" s="607"/>
      <c r="D2" s="607"/>
      <c r="E2" s="607"/>
      <c r="F2" s="607"/>
      <c r="G2" s="607"/>
      <c r="H2" s="608"/>
    </row>
    <row r="3" spans="1:8" ht="17.25" customHeight="1" thickBot="1">
      <c r="A3" s="609" t="s">
        <v>89</v>
      </c>
      <c r="B3" s="610"/>
      <c r="C3" s="610"/>
      <c r="D3" s="610"/>
      <c r="E3" s="610"/>
      <c r="F3" s="610"/>
      <c r="G3" s="610"/>
      <c r="H3" s="611"/>
    </row>
    <row r="4" spans="1:8" ht="3.75" customHeight="1" thickBot="1">
      <c r="A4" s="121"/>
      <c r="B4" s="122"/>
      <c r="C4" s="122"/>
      <c r="D4" s="122"/>
      <c r="E4" s="122"/>
      <c r="F4" s="122"/>
      <c r="G4" s="122"/>
      <c r="H4" s="123"/>
    </row>
    <row r="5" spans="1:15" ht="26.25" customHeight="1">
      <c r="A5" s="612" t="s">
        <v>460</v>
      </c>
      <c r="B5" s="613"/>
      <c r="C5" s="613"/>
      <c r="D5" s="614"/>
      <c r="E5" s="615" t="s">
        <v>622</v>
      </c>
      <c r="F5" s="616"/>
      <c r="G5" s="616"/>
      <c r="H5" s="617"/>
      <c r="N5">
        <v>2</v>
      </c>
      <c r="O5">
        <v>3</v>
      </c>
    </row>
    <row r="6" spans="1:15" ht="12.75">
      <c r="A6" s="618" t="s">
        <v>204</v>
      </c>
      <c r="B6" s="619"/>
      <c r="C6" s="619"/>
      <c r="D6" s="620"/>
      <c r="E6" s="621" t="s">
        <v>90</v>
      </c>
      <c r="F6" s="622"/>
      <c r="G6" s="622"/>
      <c r="H6" s="623"/>
      <c r="N6">
        <v>2</v>
      </c>
      <c r="O6">
        <v>5</v>
      </c>
    </row>
    <row r="7" spans="1:15" ht="27" customHeight="1">
      <c r="A7" s="618" t="s">
        <v>195</v>
      </c>
      <c r="B7" s="619"/>
      <c r="C7" s="619"/>
      <c r="D7" s="620"/>
      <c r="E7" s="624" t="s">
        <v>91</v>
      </c>
      <c r="F7" s="626" t="s">
        <v>92</v>
      </c>
      <c r="G7" s="454" t="s">
        <v>93</v>
      </c>
      <c r="H7" s="453" t="s">
        <v>94</v>
      </c>
      <c r="N7">
        <v>4</v>
      </c>
      <c r="O7">
        <v>4</v>
      </c>
    </row>
    <row r="8" spans="1:15" ht="17.25" customHeight="1" thickBot="1">
      <c r="A8" s="628" t="s">
        <v>615</v>
      </c>
      <c r="B8" s="629"/>
      <c r="C8" s="629"/>
      <c r="D8" s="630"/>
      <c r="E8" s="625"/>
      <c r="F8" s="627"/>
      <c r="G8" s="124" t="s">
        <v>95</v>
      </c>
      <c r="H8" s="125">
        <v>0.2247</v>
      </c>
      <c r="N8">
        <v>10</v>
      </c>
      <c r="O8">
        <v>10</v>
      </c>
    </row>
    <row r="9" spans="1:8" ht="3.75" customHeight="1" thickBot="1">
      <c r="A9" s="633"/>
      <c r="B9" s="634"/>
      <c r="C9" s="634"/>
      <c r="D9" s="634"/>
      <c r="E9" s="634"/>
      <c r="F9" s="634"/>
      <c r="G9" s="634"/>
      <c r="H9" s="635"/>
    </row>
    <row r="10" spans="1:20" ht="39.75" thickBot="1">
      <c r="A10" s="126" t="s">
        <v>96</v>
      </c>
      <c r="B10" s="127" t="s">
        <v>97</v>
      </c>
      <c r="C10" s="127" t="s">
        <v>98</v>
      </c>
      <c r="D10" s="127" t="s">
        <v>99</v>
      </c>
      <c r="E10" s="127" t="s">
        <v>100</v>
      </c>
      <c r="F10" s="128" t="s">
        <v>101</v>
      </c>
      <c r="G10" s="128" t="s">
        <v>102</v>
      </c>
      <c r="H10" s="129" t="s">
        <v>103</v>
      </c>
      <c r="L10" s="119" t="s">
        <v>36</v>
      </c>
      <c r="M10" s="52"/>
      <c r="N10" s="52">
        <f>N5*N6*N7*N8</f>
        <v>160</v>
      </c>
      <c r="O10" s="52">
        <f>O5*O6*O7*O8</f>
        <v>600</v>
      </c>
      <c r="P10" s="52"/>
      <c r="Q10" s="52"/>
      <c r="R10" s="52"/>
      <c r="S10" s="52"/>
      <c r="T10" s="52"/>
    </row>
    <row r="11" spans="1:20" s="137" customFormat="1" ht="16.5" customHeight="1">
      <c r="A11" s="130">
        <v>1</v>
      </c>
      <c r="B11" s="131"/>
      <c r="C11" s="132" t="s">
        <v>200</v>
      </c>
      <c r="D11" s="133"/>
      <c r="E11" s="134"/>
      <c r="F11" s="134"/>
      <c r="G11" s="195" t="s">
        <v>104</v>
      </c>
      <c r="H11" s="136">
        <f>SUM(H12:H13)</f>
        <v>7179.8</v>
      </c>
      <c r="K11" s="138"/>
      <c r="L11" s="247"/>
      <c r="M11" s="247"/>
      <c r="N11" s="247"/>
      <c r="O11" s="247"/>
      <c r="P11" s="247"/>
      <c r="Q11" s="247"/>
      <c r="R11" s="247"/>
      <c r="S11" s="247"/>
      <c r="T11" s="247"/>
    </row>
    <row r="12" spans="1:20" s="139" customFormat="1" ht="20.25">
      <c r="A12" s="179" t="s">
        <v>18</v>
      </c>
      <c r="B12" s="304">
        <v>90777</v>
      </c>
      <c r="C12" s="259" t="s">
        <v>201</v>
      </c>
      <c r="D12" s="305" t="s">
        <v>202</v>
      </c>
      <c r="E12" s="256">
        <v>20</v>
      </c>
      <c r="F12" s="256">
        <v>104.67</v>
      </c>
      <c r="G12" s="181">
        <v>128.19</v>
      </c>
      <c r="H12" s="182">
        <f>G12*E12</f>
        <v>2563.8</v>
      </c>
      <c r="K12" s="140">
        <f>F12*1.2247</f>
        <v>128.19</v>
      </c>
      <c r="L12" s="248"/>
      <c r="M12" s="248"/>
      <c r="N12" s="248"/>
      <c r="O12" s="248"/>
      <c r="P12" s="248"/>
      <c r="Q12" s="248"/>
      <c r="R12" s="248"/>
      <c r="S12" s="248"/>
      <c r="T12" s="248"/>
    </row>
    <row r="13" spans="1:20" s="139" customFormat="1" ht="12.75">
      <c r="A13" s="459" t="s">
        <v>34</v>
      </c>
      <c r="B13" s="308">
        <v>90776</v>
      </c>
      <c r="C13" s="309" t="s">
        <v>203</v>
      </c>
      <c r="D13" s="310" t="s">
        <v>202</v>
      </c>
      <c r="E13" s="335">
        <v>80</v>
      </c>
      <c r="F13" s="335">
        <v>47.11</v>
      </c>
      <c r="G13" s="181">
        <v>57.7</v>
      </c>
      <c r="H13" s="182">
        <f>G13*E13</f>
        <v>4616</v>
      </c>
      <c r="K13" s="140">
        <f aca="true" t="shared" si="0" ref="K13:K42">F13*1.2247</f>
        <v>57.7</v>
      </c>
      <c r="L13" s="248"/>
      <c r="M13" s="248"/>
      <c r="N13" s="248"/>
      <c r="O13" s="248"/>
      <c r="P13" s="248"/>
      <c r="Q13" s="248"/>
      <c r="R13" s="248"/>
      <c r="S13" s="248"/>
      <c r="T13" s="248"/>
    </row>
    <row r="14" spans="1:20" s="178" customFormat="1" ht="12.75">
      <c r="A14" s="186">
        <v>2</v>
      </c>
      <c r="B14" s="175"/>
      <c r="C14" s="176" t="s">
        <v>1</v>
      </c>
      <c r="D14" s="177"/>
      <c r="E14" s="177"/>
      <c r="F14" s="177"/>
      <c r="G14" s="195" t="s">
        <v>104</v>
      </c>
      <c r="H14" s="483">
        <f>SUM(H15:H17)</f>
        <v>3274.81</v>
      </c>
      <c r="K14" s="140">
        <f t="shared" si="0"/>
        <v>0</v>
      </c>
      <c r="L14" s="249"/>
      <c r="M14" s="249"/>
      <c r="N14" s="249"/>
      <c r="O14" s="249"/>
      <c r="P14" s="249"/>
      <c r="Q14" s="249"/>
      <c r="R14" s="249"/>
      <c r="S14" s="249"/>
      <c r="T14" s="249"/>
    </row>
    <row r="15" spans="1:20" s="139" customFormat="1" ht="59.25" customHeight="1">
      <c r="A15" s="540" t="s">
        <v>70</v>
      </c>
      <c r="B15" s="304" t="s">
        <v>205</v>
      </c>
      <c r="C15" s="259" t="s">
        <v>105</v>
      </c>
      <c r="D15" s="305" t="s">
        <v>106</v>
      </c>
      <c r="E15" s="256">
        <v>1</v>
      </c>
      <c r="F15" s="256">
        <v>1340.46</v>
      </c>
      <c r="G15" s="181">
        <v>1641.66</v>
      </c>
      <c r="H15" s="182">
        <f>G15*E15</f>
        <v>1641.66</v>
      </c>
      <c r="K15" s="140">
        <f t="shared" si="0"/>
        <v>1641.66</v>
      </c>
      <c r="L15" s="248"/>
      <c r="M15" s="248"/>
      <c r="N15" s="248"/>
      <c r="O15" s="248"/>
      <c r="P15" s="248"/>
      <c r="Q15" s="248"/>
      <c r="R15" s="248"/>
      <c r="S15" s="248"/>
      <c r="T15" s="248"/>
    </row>
    <row r="16" spans="1:20" s="139" customFormat="1" ht="27" customHeight="1">
      <c r="A16" s="540" t="s">
        <v>395</v>
      </c>
      <c r="B16" s="304" t="s">
        <v>394</v>
      </c>
      <c r="C16" s="259" t="s">
        <v>499</v>
      </c>
      <c r="D16" s="400" t="s">
        <v>107</v>
      </c>
      <c r="E16" s="256">
        <f>'MEMÓRIA DE CÁLCULO'!F6</f>
        <v>59.66</v>
      </c>
      <c r="F16" s="256">
        <v>2.13</v>
      </c>
      <c r="G16" s="181">
        <v>2.61</v>
      </c>
      <c r="H16" s="182">
        <f>G16*E16</f>
        <v>155.71</v>
      </c>
      <c r="K16" s="140">
        <f t="shared" si="0"/>
        <v>2.61</v>
      </c>
      <c r="L16" s="248"/>
      <c r="M16" s="248"/>
      <c r="N16" s="248"/>
      <c r="O16" s="248"/>
      <c r="P16" s="248"/>
      <c r="Q16" s="248"/>
      <c r="R16" s="248"/>
      <c r="S16" s="248"/>
      <c r="T16" s="248"/>
    </row>
    <row r="17" spans="1:20" s="139" customFormat="1" ht="40.5">
      <c r="A17" s="541" t="s">
        <v>399</v>
      </c>
      <c r="B17" s="304" t="s">
        <v>398</v>
      </c>
      <c r="C17" s="259" t="s">
        <v>500</v>
      </c>
      <c r="D17" s="400" t="s">
        <v>25</v>
      </c>
      <c r="E17" s="256">
        <f>'MEMÓRIA DE CÁLCULO'!F12</f>
        <v>20.5</v>
      </c>
      <c r="F17" s="256">
        <v>58.85</v>
      </c>
      <c r="G17" s="256">
        <v>72.07</v>
      </c>
      <c r="H17" s="182">
        <f>G17*E17</f>
        <v>1477.44</v>
      </c>
      <c r="K17" s="140">
        <f t="shared" si="0"/>
        <v>72.07</v>
      </c>
      <c r="L17" s="248"/>
      <c r="M17" s="248"/>
      <c r="N17" s="248"/>
      <c r="O17" s="248"/>
      <c r="P17" s="248"/>
      <c r="Q17" s="248"/>
      <c r="R17" s="248"/>
      <c r="S17" s="248"/>
      <c r="T17" s="248"/>
    </row>
    <row r="18" spans="1:20" s="193" customFormat="1" ht="16.5" customHeight="1">
      <c r="A18" s="186">
        <v>3</v>
      </c>
      <c r="B18" s="187"/>
      <c r="C18" s="188" t="s">
        <v>187</v>
      </c>
      <c r="D18" s="189"/>
      <c r="E18" s="190"/>
      <c r="F18" s="190"/>
      <c r="G18" s="191" t="s">
        <v>104</v>
      </c>
      <c r="H18" s="503">
        <f>SUM(H19:H31)</f>
        <v>17274.21</v>
      </c>
      <c r="K18" s="140">
        <f aca="true" t="shared" si="1" ref="K18:K23">F18*1.2247</f>
        <v>0</v>
      </c>
      <c r="L18" s="247"/>
      <c r="M18" s="247"/>
      <c r="N18" s="247"/>
      <c r="O18" s="247"/>
      <c r="P18" s="247"/>
      <c r="Q18" s="247"/>
      <c r="R18" s="247"/>
      <c r="S18" s="247"/>
      <c r="T18" s="247"/>
    </row>
    <row r="19" spans="1:15" s="247" customFormat="1" ht="45.75" customHeight="1">
      <c r="A19" s="542" t="s">
        <v>47</v>
      </c>
      <c r="B19" s="304" t="s">
        <v>401</v>
      </c>
      <c r="C19" s="259" t="s">
        <v>506</v>
      </c>
      <c r="D19" s="305" t="s">
        <v>107</v>
      </c>
      <c r="E19" s="256">
        <f>'MEMÓRIA DE CÁLCULO'!F19</f>
        <v>3</v>
      </c>
      <c r="F19" s="256">
        <v>16.01</v>
      </c>
      <c r="G19" s="256">
        <v>19.61</v>
      </c>
      <c r="H19" s="382">
        <f>E19*G19</f>
        <v>58.83</v>
      </c>
      <c r="K19" s="140">
        <f t="shared" si="1"/>
        <v>19.61</v>
      </c>
      <c r="O19" s="515"/>
    </row>
    <row r="20" spans="1:11" s="247" customFormat="1" ht="20.25">
      <c r="A20" s="542" t="s">
        <v>71</v>
      </c>
      <c r="B20" s="304">
        <v>97626</v>
      </c>
      <c r="C20" s="259" t="s">
        <v>450</v>
      </c>
      <c r="D20" s="305" t="s">
        <v>108</v>
      </c>
      <c r="E20" s="256">
        <f>'MEMÓRIA DE CÁLCULO'!F25</f>
        <v>0.19</v>
      </c>
      <c r="F20" s="256">
        <v>274.39</v>
      </c>
      <c r="G20" s="256">
        <v>336.05</v>
      </c>
      <c r="H20" s="382">
        <f>E20*G20</f>
        <v>63.85</v>
      </c>
      <c r="K20" s="140">
        <f t="shared" si="1"/>
        <v>336.05</v>
      </c>
    </row>
    <row r="21" spans="1:20" s="139" customFormat="1" ht="20.25">
      <c r="A21" s="542" t="s">
        <v>48</v>
      </c>
      <c r="B21" s="304">
        <v>97622</v>
      </c>
      <c r="C21" s="259" t="s">
        <v>197</v>
      </c>
      <c r="D21" s="349" t="s">
        <v>108</v>
      </c>
      <c r="E21" s="256">
        <f>'MEMÓRIA DE CÁLCULO'!F31</f>
        <v>7.41</v>
      </c>
      <c r="F21" s="256">
        <v>49.4</v>
      </c>
      <c r="G21" s="181">
        <v>60.5</v>
      </c>
      <c r="H21" s="182">
        <f>G21*E21</f>
        <v>448.31</v>
      </c>
      <c r="K21" s="140">
        <f t="shared" si="1"/>
        <v>60.5</v>
      </c>
      <c r="L21" s="248"/>
      <c r="M21" s="516">
        <f>H23+H22</f>
        <v>7917.58</v>
      </c>
      <c r="N21" s="248"/>
      <c r="O21" s="248"/>
      <c r="P21" s="248"/>
      <c r="Q21" s="248"/>
      <c r="R21" s="248"/>
      <c r="S21" s="248"/>
      <c r="T21" s="248"/>
    </row>
    <row r="22" spans="1:20" s="59" customFormat="1" ht="20.25">
      <c r="A22" s="542" t="s">
        <v>49</v>
      </c>
      <c r="B22" s="543" t="s">
        <v>188</v>
      </c>
      <c r="C22" s="180" t="s">
        <v>189</v>
      </c>
      <c r="D22" s="305" t="s">
        <v>25</v>
      </c>
      <c r="E22" s="181">
        <f>'MEMÓRIA DE CÁLCULO'!F64</f>
        <v>198.25</v>
      </c>
      <c r="F22" s="181">
        <v>2.34</v>
      </c>
      <c r="G22" s="181">
        <v>2.87</v>
      </c>
      <c r="H22" s="182">
        <f>E22*G22</f>
        <v>568.98</v>
      </c>
      <c r="K22" s="141">
        <f t="shared" si="1"/>
        <v>2.87</v>
      </c>
      <c r="M22" s="59">
        <f>M21/H18</f>
        <v>0.458346865066478</v>
      </c>
      <c r="O22" s="119"/>
      <c r="P22" s="119"/>
      <c r="Q22" s="119"/>
      <c r="R22" s="119"/>
      <c r="S22" s="119"/>
      <c r="T22" s="119"/>
    </row>
    <row r="23" spans="1:20" s="59" customFormat="1" ht="20.25">
      <c r="A23" s="542" t="s">
        <v>50</v>
      </c>
      <c r="B23" s="543" t="s">
        <v>190</v>
      </c>
      <c r="C23" s="180" t="s">
        <v>191</v>
      </c>
      <c r="D23" s="305" t="s">
        <v>107</v>
      </c>
      <c r="E23" s="181">
        <f>'MEMÓRIA DE CÁLCULO'!F66</f>
        <v>292.54</v>
      </c>
      <c r="F23" s="181">
        <v>20.51</v>
      </c>
      <c r="G23" s="181">
        <v>25.12</v>
      </c>
      <c r="H23" s="182">
        <f aca="true" t="shared" si="2" ref="H23:H31">E23*G23</f>
        <v>7348.6</v>
      </c>
      <c r="K23" s="141">
        <f t="shared" si="1"/>
        <v>25.12</v>
      </c>
      <c r="N23" s="146"/>
      <c r="O23" s="119"/>
      <c r="P23" s="119"/>
      <c r="Q23" s="119"/>
      <c r="R23" s="119"/>
      <c r="S23" s="119"/>
      <c r="T23" s="119"/>
    </row>
    <row r="24" spans="1:20" s="59" customFormat="1" ht="20.25">
      <c r="A24" s="542" t="s">
        <v>51</v>
      </c>
      <c r="B24" s="544" t="s">
        <v>194</v>
      </c>
      <c r="C24" s="290" t="s">
        <v>193</v>
      </c>
      <c r="D24" s="400" t="s">
        <v>107</v>
      </c>
      <c r="E24" s="256">
        <f>'MEMÓRIA DE CÁLCULO'!F101</f>
        <v>7.32</v>
      </c>
      <c r="F24" s="256">
        <v>30.15</v>
      </c>
      <c r="G24" s="181">
        <v>36.92</v>
      </c>
      <c r="H24" s="182">
        <f t="shared" si="2"/>
        <v>270.25</v>
      </c>
      <c r="K24" s="141">
        <f aca="true" t="shared" si="3" ref="K24:K31">F24*1.2247</f>
        <v>36.92</v>
      </c>
      <c r="O24" s="119"/>
      <c r="P24" s="119"/>
      <c r="Q24" s="119"/>
      <c r="R24" s="119"/>
      <c r="S24" s="119"/>
      <c r="T24" s="119"/>
    </row>
    <row r="25" spans="1:11" s="59" customFormat="1" ht="20.25">
      <c r="A25" s="542" t="s">
        <v>206</v>
      </c>
      <c r="B25" s="544" t="s">
        <v>349</v>
      </c>
      <c r="C25" s="290" t="s">
        <v>350</v>
      </c>
      <c r="D25" s="400" t="s">
        <v>107</v>
      </c>
      <c r="E25" s="256">
        <f>'MEMÓRIA DE CÁLCULO'!F110</f>
        <v>29.4</v>
      </c>
      <c r="F25" s="256">
        <v>8.24</v>
      </c>
      <c r="G25" s="181">
        <v>10.09</v>
      </c>
      <c r="H25" s="182">
        <f t="shared" si="2"/>
        <v>296.65</v>
      </c>
      <c r="K25" s="141">
        <f>F25*1.2247</f>
        <v>10.09</v>
      </c>
    </row>
    <row r="26" spans="1:11" s="59" customFormat="1" ht="20.25">
      <c r="A26" s="542" t="s">
        <v>207</v>
      </c>
      <c r="B26" s="544" t="s">
        <v>196</v>
      </c>
      <c r="C26" s="290" t="s">
        <v>258</v>
      </c>
      <c r="D26" s="400" t="s">
        <v>106</v>
      </c>
      <c r="E26" s="256">
        <f>'MEMÓRIA DE CÁLCULO'!F132</f>
        <v>6</v>
      </c>
      <c r="F26" s="256">
        <v>10.88</v>
      </c>
      <c r="G26" s="181">
        <v>13.32</v>
      </c>
      <c r="H26" s="182">
        <f t="shared" si="2"/>
        <v>79.92</v>
      </c>
      <c r="K26" s="141">
        <f t="shared" si="3"/>
        <v>13.32</v>
      </c>
    </row>
    <row r="27" spans="1:11" s="59" customFormat="1" ht="20.25">
      <c r="A27" s="542" t="s">
        <v>209</v>
      </c>
      <c r="B27" s="544" t="s">
        <v>256</v>
      </c>
      <c r="C27" s="290" t="s">
        <v>257</v>
      </c>
      <c r="D27" s="400" t="s">
        <v>106</v>
      </c>
      <c r="E27" s="256">
        <f>'MEMÓRIA DE CÁLCULO'!F143</f>
        <v>7</v>
      </c>
      <c r="F27" s="256">
        <v>7.94</v>
      </c>
      <c r="G27" s="181">
        <v>9.72</v>
      </c>
      <c r="H27" s="182">
        <f t="shared" si="2"/>
        <v>68.04</v>
      </c>
      <c r="K27" s="141">
        <f t="shared" si="3"/>
        <v>9.72</v>
      </c>
    </row>
    <row r="28" spans="1:11" s="59" customFormat="1" ht="20.25">
      <c r="A28" s="542" t="s">
        <v>213</v>
      </c>
      <c r="B28" s="544" t="s">
        <v>210</v>
      </c>
      <c r="C28" s="290" t="s">
        <v>211</v>
      </c>
      <c r="D28" s="400" t="s">
        <v>107</v>
      </c>
      <c r="E28" s="256">
        <f>'MEMÓRIA DE CÁLCULO'!F155</f>
        <v>175.36</v>
      </c>
      <c r="F28" s="256">
        <v>1.63</v>
      </c>
      <c r="G28" s="256">
        <v>2</v>
      </c>
      <c r="H28" s="182">
        <f t="shared" si="2"/>
        <v>350.72</v>
      </c>
      <c r="K28" s="141">
        <f t="shared" si="3"/>
        <v>2</v>
      </c>
    </row>
    <row r="29" spans="1:11" s="59" customFormat="1" ht="20.25">
      <c r="A29" s="542" t="s">
        <v>618</v>
      </c>
      <c r="B29" s="544" t="s">
        <v>212</v>
      </c>
      <c r="C29" s="290" t="s">
        <v>214</v>
      </c>
      <c r="D29" s="400" t="s">
        <v>107</v>
      </c>
      <c r="E29" s="256">
        <f>'MEMÓRIA DE CÁLCULO'!F178</f>
        <v>175.36</v>
      </c>
      <c r="F29" s="256">
        <v>2.92</v>
      </c>
      <c r="G29" s="256">
        <v>3.58</v>
      </c>
      <c r="H29" s="182">
        <f t="shared" si="2"/>
        <v>627.79</v>
      </c>
      <c r="K29" s="141">
        <f t="shared" si="3"/>
        <v>3.58</v>
      </c>
    </row>
    <row r="30" spans="1:13" s="59" customFormat="1" ht="40.5">
      <c r="A30" s="542" t="s">
        <v>619</v>
      </c>
      <c r="B30" s="544" t="s">
        <v>215</v>
      </c>
      <c r="C30" s="290" t="s">
        <v>508</v>
      </c>
      <c r="D30" s="400" t="s">
        <v>107</v>
      </c>
      <c r="E30" s="256">
        <f>'MEMÓRIA DE CÁLCULO'!F201</f>
        <v>256.23</v>
      </c>
      <c r="F30" s="256">
        <v>21.91</v>
      </c>
      <c r="G30" s="256">
        <v>26.83</v>
      </c>
      <c r="H30" s="182">
        <f t="shared" si="2"/>
        <v>6874.65</v>
      </c>
      <c r="K30" s="141">
        <f t="shared" si="3"/>
        <v>26.83</v>
      </c>
      <c r="M30" s="146"/>
    </row>
    <row r="31" spans="1:11" s="59" customFormat="1" ht="60.75">
      <c r="A31" s="542" t="s">
        <v>620</v>
      </c>
      <c r="B31" s="544" t="s">
        <v>216</v>
      </c>
      <c r="C31" s="290" t="s">
        <v>509</v>
      </c>
      <c r="D31" s="400" t="s">
        <v>107</v>
      </c>
      <c r="E31" s="256">
        <f>'MEMÓRIA DE CÁLCULO'!F219</f>
        <v>3.66</v>
      </c>
      <c r="F31" s="256">
        <v>48.55</v>
      </c>
      <c r="G31" s="256">
        <v>59.46</v>
      </c>
      <c r="H31" s="182">
        <f t="shared" si="2"/>
        <v>217.62</v>
      </c>
      <c r="K31" s="141">
        <f t="shared" si="3"/>
        <v>59.46</v>
      </c>
    </row>
    <row r="32" spans="1:20" s="139" customFormat="1" ht="12.75">
      <c r="A32" s="186">
        <v>4</v>
      </c>
      <c r="B32" s="175"/>
      <c r="C32" s="176" t="s">
        <v>402</v>
      </c>
      <c r="D32" s="177"/>
      <c r="E32" s="177"/>
      <c r="F32" s="177"/>
      <c r="G32" s="195" t="s">
        <v>104</v>
      </c>
      <c r="H32" s="483">
        <f>SUM(H33:H42)</f>
        <v>24393.02</v>
      </c>
      <c r="K32" s="140">
        <f t="shared" si="0"/>
        <v>0</v>
      </c>
      <c r="L32" s="248"/>
      <c r="M32" s="248"/>
      <c r="N32" s="248"/>
      <c r="O32" s="248"/>
      <c r="P32" s="248"/>
      <c r="Q32" s="248"/>
      <c r="R32" s="248"/>
      <c r="S32" s="248"/>
      <c r="T32" s="248"/>
    </row>
    <row r="33" spans="1:20" s="139" customFormat="1" ht="24" customHeight="1">
      <c r="A33" s="540" t="s">
        <v>27</v>
      </c>
      <c r="B33" s="399" t="s">
        <v>403</v>
      </c>
      <c r="C33" s="259" t="s">
        <v>501</v>
      </c>
      <c r="D33" s="400" t="s">
        <v>108</v>
      </c>
      <c r="E33" s="256">
        <f>'MEMÓRIA DE CÁLCULO'!F229</f>
        <v>20.04</v>
      </c>
      <c r="F33" s="256">
        <v>61.26</v>
      </c>
      <c r="G33" s="256">
        <v>75.03</v>
      </c>
      <c r="H33" s="382">
        <f>E33*G33</f>
        <v>1503.6</v>
      </c>
      <c r="K33" s="140">
        <f t="shared" si="0"/>
        <v>75.03</v>
      </c>
      <c r="L33" s="401">
        <f>F33*1.2247</f>
        <v>75.03</v>
      </c>
      <c r="M33" s="248"/>
      <c r="N33" s="248"/>
      <c r="O33" s="248"/>
      <c r="P33" s="248"/>
      <c r="Q33" s="248"/>
      <c r="R33" s="248"/>
      <c r="S33" s="248"/>
      <c r="T33" s="248"/>
    </row>
    <row r="34" spans="1:20" s="139" customFormat="1" ht="12.75">
      <c r="A34" s="540" t="s">
        <v>52</v>
      </c>
      <c r="B34" s="399" t="s">
        <v>404</v>
      </c>
      <c r="C34" s="259" t="s">
        <v>405</v>
      </c>
      <c r="D34" s="400" t="s">
        <v>107</v>
      </c>
      <c r="E34" s="256">
        <f>'MEMÓRIA DE CÁLCULO'!F244</f>
        <v>10.57</v>
      </c>
      <c r="F34" s="256">
        <v>20.72</v>
      </c>
      <c r="G34" s="256">
        <v>25.38</v>
      </c>
      <c r="H34" s="382">
        <f aca="true" t="shared" si="4" ref="H34:H42">E34*G34</f>
        <v>268.27</v>
      </c>
      <c r="K34" s="140">
        <f t="shared" si="0"/>
        <v>25.38</v>
      </c>
      <c r="L34" s="401">
        <f aca="true" t="shared" si="5" ref="L34:L42">F34*1.2247</f>
        <v>25.38</v>
      </c>
      <c r="M34" s="248"/>
      <c r="N34" s="248"/>
      <c r="O34" s="248"/>
      <c r="P34" s="248"/>
      <c r="Q34" s="248"/>
      <c r="R34" s="248"/>
      <c r="S34" s="248"/>
      <c r="T34" s="248"/>
    </row>
    <row r="35" spans="1:20" s="139" customFormat="1" ht="20.25">
      <c r="A35" s="540" t="s">
        <v>72</v>
      </c>
      <c r="B35" s="399" t="s">
        <v>406</v>
      </c>
      <c r="C35" s="259" t="s">
        <v>502</v>
      </c>
      <c r="D35" s="400" t="s">
        <v>108</v>
      </c>
      <c r="E35" s="256">
        <f>'MEMÓRIA DE CÁLCULO'!F258</f>
        <v>0.53</v>
      </c>
      <c r="F35" s="256">
        <v>527.63</v>
      </c>
      <c r="G35" s="256">
        <v>646.19</v>
      </c>
      <c r="H35" s="382">
        <f t="shared" si="4"/>
        <v>342.48</v>
      </c>
      <c r="K35" s="140">
        <f t="shared" si="0"/>
        <v>646.19</v>
      </c>
      <c r="L35" s="401">
        <f t="shared" si="5"/>
        <v>646.19</v>
      </c>
      <c r="M35" s="248"/>
      <c r="N35" s="248"/>
      <c r="O35" s="248"/>
      <c r="P35" s="248"/>
      <c r="Q35" s="248"/>
      <c r="R35" s="248"/>
      <c r="S35" s="248"/>
      <c r="T35" s="248"/>
    </row>
    <row r="36" spans="1:20" s="139" customFormat="1" ht="20.25">
      <c r="A36" s="540" t="s">
        <v>53</v>
      </c>
      <c r="B36" s="399" t="s">
        <v>410</v>
      </c>
      <c r="C36" s="259" t="s">
        <v>498</v>
      </c>
      <c r="D36" s="400" t="s">
        <v>107</v>
      </c>
      <c r="E36" s="256">
        <f>'MEMÓRIA DE CÁLCULO'!F274</f>
        <v>38.59</v>
      </c>
      <c r="F36" s="256">
        <v>62.69</v>
      </c>
      <c r="G36" s="256">
        <v>76.78</v>
      </c>
      <c r="H36" s="382">
        <f t="shared" si="4"/>
        <v>2962.94</v>
      </c>
      <c r="K36" s="140">
        <f t="shared" si="0"/>
        <v>76.78</v>
      </c>
      <c r="L36" s="401">
        <f t="shared" si="5"/>
        <v>76.78</v>
      </c>
      <c r="M36" s="248"/>
      <c r="N36" s="248"/>
      <c r="O36" s="248"/>
      <c r="P36" s="248"/>
      <c r="Q36" s="248"/>
      <c r="R36" s="248"/>
      <c r="S36" s="248"/>
      <c r="T36" s="248"/>
    </row>
    <row r="37" spans="1:20" s="139" customFormat="1" ht="25.5" customHeight="1">
      <c r="A37" s="540" t="s">
        <v>73</v>
      </c>
      <c r="B37" s="399" t="s">
        <v>407</v>
      </c>
      <c r="C37" s="259" t="s">
        <v>503</v>
      </c>
      <c r="D37" s="400" t="s">
        <v>374</v>
      </c>
      <c r="E37" s="256">
        <v>148.8</v>
      </c>
      <c r="F37" s="256">
        <v>14.37</v>
      </c>
      <c r="G37" s="256">
        <v>17.6</v>
      </c>
      <c r="H37" s="382">
        <f t="shared" si="4"/>
        <v>2618.88</v>
      </c>
      <c r="K37" s="140">
        <f t="shared" si="0"/>
        <v>17.6</v>
      </c>
      <c r="L37" s="401">
        <f t="shared" si="5"/>
        <v>17.6</v>
      </c>
      <c r="M37" s="248"/>
      <c r="N37" s="248"/>
      <c r="O37" s="248"/>
      <c r="P37" s="248"/>
      <c r="Q37" s="248"/>
      <c r="R37" s="248"/>
      <c r="S37" s="248"/>
      <c r="T37" s="248"/>
    </row>
    <row r="38" spans="1:20" s="139" customFormat="1" ht="25.5" customHeight="1">
      <c r="A38" s="540" t="s">
        <v>423</v>
      </c>
      <c r="B38" s="399" t="s">
        <v>408</v>
      </c>
      <c r="C38" s="259" t="s">
        <v>504</v>
      </c>
      <c r="D38" s="400" t="s">
        <v>374</v>
      </c>
      <c r="E38" s="256">
        <v>382.5</v>
      </c>
      <c r="F38" s="256">
        <v>13.35</v>
      </c>
      <c r="G38" s="256">
        <v>16.35</v>
      </c>
      <c r="H38" s="382">
        <f t="shared" si="4"/>
        <v>6253.88</v>
      </c>
      <c r="K38" s="140">
        <f t="shared" si="0"/>
        <v>16.35</v>
      </c>
      <c r="L38" s="401">
        <f t="shared" si="5"/>
        <v>16.35</v>
      </c>
      <c r="M38" s="248"/>
      <c r="N38" s="248"/>
      <c r="O38" s="248"/>
      <c r="P38" s="248"/>
      <c r="Q38" s="248"/>
      <c r="R38" s="248"/>
      <c r="S38" s="248"/>
      <c r="T38" s="248"/>
    </row>
    <row r="39" spans="1:20" s="139" customFormat="1" ht="30">
      <c r="A39" s="540" t="s">
        <v>424</v>
      </c>
      <c r="B39" s="399" t="s">
        <v>409</v>
      </c>
      <c r="C39" s="259" t="s">
        <v>505</v>
      </c>
      <c r="D39" s="400" t="s">
        <v>108</v>
      </c>
      <c r="E39" s="256">
        <v>7.64</v>
      </c>
      <c r="F39" s="256">
        <v>709.99</v>
      </c>
      <c r="G39" s="256">
        <v>869.52</v>
      </c>
      <c r="H39" s="382">
        <f t="shared" si="4"/>
        <v>6643.13</v>
      </c>
      <c r="K39" s="140">
        <f t="shared" si="0"/>
        <v>869.52</v>
      </c>
      <c r="L39" s="401">
        <f t="shared" si="5"/>
        <v>869.52</v>
      </c>
      <c r="M39" s="248"/>
      <c r="N39" s="248"/>
      <c r="O39" s="248"/>
      <c r="P39" s="248"/>
      <c r="Q39" s="248"/>
      <c r="R39" s="248"/>
      <c r="S39" s="248"/>
      <c r="T39" s="248"/>
    </row>
    <row r="40" spans="1:20" s="139" customFormat="1" ht="12.75">
      <c r="A40" s="540" t="s">
        <v>425</v>
      </c>
      <c r="B40" s="399">
        <v>96995</v>
      </c>
      <c r="C40" s="259" t="s">
        <v>417</v>
      </c>
      <c r="D40" s="400" t="s">
        <v>108</v>
      </c>
      <c r="E40" s="256">
        <f>'MEMÓRIA DE CÁLCULO'!F281</f>
        <v>12.4</v>
      </c>
      <c r="F40" s="256">
        <v>44.94</v>
      </c>
      <c r="G40" s="256">
        <v>55.04</v>
      </c>
      <c r="H40" s="382">
        <f t="shared" si="4"/>
        <v>682.5</v>
      </c>
      <c r="K40" s="140">
        <f t="shared" si="0"/>
        <v>55.04</v>
      </c>
      <c r="L40" s="401">
        <f t="shared" si="5"/>
        <v>55.04</v>
      </c>
      <c r="M40" s="248"/>
      <c r="N40" s="248"/>
      <c r="O40" s="248"/>
      <c r="P40" s="248"/>
      <c r="Q40" s="248"/>
      <c r="R40" s="248"/>
      <c r="S40" s="248"/>
      <c r="T40" s="248"/>
    </row>
    <row r="41" spans="1:20" s="139" customFormat="1" ht="12.75">
      <c r="A41" s="540" t="s">
        <v>426</v>
      </c>
      <c r="B41" s="399" t="s">
        <v>419</v>
      </c>
      <c r="C41" s="259" t="s">
        <v>420</v>
      </c>
      <c r="D41" s="400" t="s">
        <v>108</v>
      </c>
      <c r="E41" s="256">
        <f>'MEMÓRIA DE CÁLCULO'!F287</f>
        <v>14.69</v>
      </c>
      <c r="F41" s="256">
        <v>61.26</v>
      </c>
      <c r="G41" s="256">
        <v>75.03</v>
      </c>
      <c r="H41" s="382">
        <f t="shared" si="4"/>
        <v>1102.19</v>
      </c>
      <c r="K41" s="140">
        <f t="shared" si="0"/>
        <v>75.03</v>
      </c>
      <c r="L41" s="401">
        <f t="shared" si="5"/>
        <v>75.03</v>
      </c>
      <c r="M41" s="248"/>
      <c r="N41" s="248"/>
      <c r="O41" s="248"/>
      <c r="P41" s="248"/>
      <c r="Q41" s="248"/>
      <c r="R41" s="248"/>
      <c r="S41" s="248"/>
      <c r="T41" s="248"/>
    </row>
    <row r="42" spans="1:20" s="139" customFormat="1" ht="20.25">
      <c r="A42" s="540" t="s">
        <v>427</v>
      </c>
      <c r="B42" s="399">
        <v>98557</v>
      </c>
      <c r="C42" s="259" t="s">
        <v>418</v>
      </c>
      <c r="D42" s="400" t="s">
        <v>107</v>
      </c>
      <c r="E42" s="256">
        <f>'MEMÓRIA DE CÁLCULO'!F293</f>
        <v>38.91</v>
      </c>
      <c r="F42" s="256">
        <v>42.29</v>
      </c>
      <c r="G42" s="256">
        <v>51.79</v>
      </c>
      <c r="H42" s="382">
        <f t="shared" si="4"/>
        <v>2015.15</v>
      </c>
      <c r="K42" s="140">
        <f t="shared" si="0"/>
        <v>51.79</v>
      </c>
      <c r="L42" s="401">
        <f t="shared" si="5"/>
        <v>51.79</v>
      </c>
      <c r="M42" s="248"/>
      <c r="N42" s="248"/>
      <c r="O42" s="248"/>
      <c r="P42" s="248"/>
      <c r="Q42" s="248"/>
      <c r="R42" s="248"/>
      <c r="S42" s="248"/>
      <c r="T42" s="248"/>
    </row>
    <row r="43" spans="1:11" s="193" customFormat="1" ht="16.5" customHeight="1">
      <c r="A43" s="186">
        <v>5</v>
      </c>
      <c r="B43" s="187"/>
      <c r="C43" s="188" t="s">
        <v>109</v>
      </c>
      <c r="D43" s="189"/>
      <c r="E43" s="190"/>
      <c r="F43" s="190"/>
      <c r="G43" s="191" t="s">
        <v>104</v>
      </c>
      <c r="H43" s="192">
        <f>SUM(H44:H48)</f>
        <v>18807.79</v>
      </c>
      <c r="K43" s="194">
        <f aca="true" t="shared" si="6" ref="K43:K85">F43*1.2247</f>
        <v>0</v>
      </c>
    </row>
    <row r="44" spans="1:11" s="139" customFormat="1" ht="30">
      <c r="A44" s="179" t="s">
        <v>33</v>
      </c>
      <c r="B44" s="183" t="s">
        <v>208</v>
      </c>
      <c r="C44" s="180" t="s">
        <v>110</v>
      </c>
      <c r="D44" s="184" t="s">
        <v>107</v>
      </c>
      <c r="E44" s="181">
        <f>'MEMÓRIA DE CÁLCULO'!F303</f>
        <v>134.5</v>
      </c>
      <c r="F44" s="185">
        <v>76.79</v>
      </c>
      <c r="G44" s="181">
        <v>94.04</v>
      </c>
      <c r="H44" s="182">
        <f>E44*G44</f>
        <v>12648.38</v>
      </c>
      <c r="K44" s="140">
        <f>F44*1.2247</f>
        <v>94.04</v>
      </c>
    </row>
    <row r="45" spans="1:11" s="59" customFormat="1" ht="22.5" customHeight="1">
      <c r="A45" s="179" t="s">
        <v>38</v>
      </c>
      <c r="B45" s="183" t="s">
        <v>111</v>
      </c>
      <c r="C45" s="180" t="s">
        <v>39</v>
      </c>
      <c r="D45" s="184" t="s">
        <v>25</v>
      </c>
      <c r="E45" s="181">
        <f>'MEMÓRIA DE CÁLCULO'!F320</f>
        <v>26.6</v>
      </c>
      <c r="F45" s="185">
        <v>61.03</v>
      </c>
      <c r="G45" s="181">
        <v>74.74</v>
      </c>
      <c r="H45" s="182">
        <f>E45*G45</f>
        <v>1988.08</v>
      </c>
      <c r="K45" s="141">
        <f t="shared" si="6"/>
        <v>74.74</v>
      </c>
    </row>
    <row r="46" spans="1:11" s="59" customFormat="1" ht="22.5" customHeight="1">
      <c r="A46" s="179" t="s">
        <v>74</v>
      </c>
      <c r="B46" s="183" t="s">
        <v>112</v>
      </c>
      <c r="C46" s="180" t="s">
        <v>40</v>
      </c>
      <c r="D46" s="184" t="s">
        <v>25</v>
      </c>
      <c r="E46" s="181">
        <f>'MEMÓRIA DE CÁLCULO'!F335</f>
        <v>26.6</v>
      </c>
      <c r="F46" s="185">
        <v>59.6</v>
      </c>
      <c r="G46" s="181">
        <v>72.99</v>
      </c>
      <c r="H46" s="182">
        <f aca="true" t="shared" si="7" ref="H46:H55">E46*G46</f>
        <v>1941.53</v>
      </c>
      <c r="K46" s="141">
        <f t="shared" si="6"/>
        <v>72.99</v>
      </c>
    </row>
    <row r="47" spans="1:11" s="59" customFormat="1" ht="22.5" customHeight="1">
      <c r="A47" s="179" t="s">
        <v>352</v>
      </c>
      <c r="B47" s="183" t="s">
        <v>113</v>
      </c>
      <c r="C47" s="180" t="s">
        <v>41</v>
      </c>
      <c r="D47" s="184" t="s">
        <v>25</v>
      </c>
      <c r="E47" s="181">
        <f>'MEMÓRIA DE CÁLCULO'!F351</f>
        <v>27.6</v>
      </c>
      <c r="F47" s="185">
        <v>44.9</v>
      </c>
      <c r="G47" s="181">
        <v>54.99</v>
      </c>
      <c r="H47" s="182">
        <f t="shared" si="7"/>
        <v>1517.72</v>
      </c>
      <c r="K47" s="141">
        <f t="shared" si="6"/>
        <v>54.99</v>
      </c>
    </row>
    <row r="48" spans="1:11" s="59" customFormat="1" ht="40.5">
      <c r="A48" s="459" t="s">
        <v>428</v>
      </c>
      <c r="B48" s="338" t="s">
        <v>323</v>
      </c>
      <c r="C48" s="339" t="s">
        <v>516</v>
      </c>
      <c r="D48" s="491" t="s">
        <v>25</v>
      </c>
      <c r="E48" s="335">
        <f>'MEMÓRIA DE CÁLCULO'!F377</f>
        <v>18</v>
      </c>
      <c r="F48" s="336">
        <f>COMPOSIÇÃO_TRINCA!G14</f>
        <v>32.3</v>
      </c>
      <c r="G48" s="335">
        <v>39.56</v>
      </c>
      <c r="H48" s="316">
        <f>E48*G48</f>
        <v>712.08</v>
      </c>
      <c r="K48" s="141">
        <f t="shared" si="6"/>
        <v>39.56</v>
      </c>
    </row>
    <row r="49" spans="1:11" s="137" customFormat="1" ht="16.5" customHeight="1">
      <c r="A49" s="186">
        <v>6</v>
      </c>
      <c r="B49" s="187"/>
      <c r="C49" s="188" t="s">
        <v>3</v>
      </c>
      <c r="D49" s="492"/>
      <c r="E49" s="191"/>
      <c r="F49" s="191"/>
      <c r="G49" s="191" t="s">
        <v>104</v>
      </c>
      <c r="H49" s="192">
        <f>SUM(H50:H55)</f>
        <v>44604.33</v>
      </c>
      <c r="K49" s="141">
        <f t="shared" si="6"/>
        <v>0</v>
      </c>
    </row>
    <row r="50" spans="1:11" s="59" customFormat="1" ht="40.5">
      <c r="A50" s="179" t="s">
        <v>28</v>
      </c>
      <c r="B50" s="183" t="s">
        <v>633</v>
      </c>
      <c r="C50" s="180" t="s">
        <v>540</v>
      </c>
      <c r="D50" s="184" t="s">
        <v>107</v>
      </c>
      <c r="E50" s="181">
        <f>'MEMÓRIA DE CÁLCULO'!F385</f>
        <v>11.76</v>
      </c>
      <c r="F50" s="185">
        <v>782.26</v>
      </c>
      <c r="G50" s="181">
        <v>958.03</v>
      </c>
      <c r="H50" s="182">
        <f t="shared" si="7"/>
        <v>11266.43</v>
      </c>
      <c r="K50" s="141">
        <f t="shared" si="6"/>
        <v>958.03</v>
      </c>
    </row>
    <row r="51" spans="1:11" s="59" customFormat="1" ht="20.25">
      <c r="A51" s="179" t="s">
        <v>340</v>
      </c>
      <c r="B51" s="183" t="s">
        <v>635</v>
      </c>
      <c r="C51" s="180" t="s">
        <v>636</v>
      </c>
      <c r="D51" s="184" t="s">
        <v>107</v>
      </c>
      <c r="E51" s="181">
        <f>'MEMÓRIA DE CÁLCULO'!F393</f>
        <v>1.8</v>
      </c>
      <c r="F51" s="185">
        <v>376.57</v>
      </c>
      <c r="G51" s="181">
        <v>461.19</v>
      </c>
      <c r="H51" s="182">
        <f t="shared" si="7"/>
        <v>830.14</v>
      </c>
      <c r="K51" s="141">
        <f t="shared" si="6"/>
        <v>461.19</v>
      </c>
    </row>
    <row r="52" spans="1:12" s="323" customFormat="1" ht="30">
      <c r="A52" s="179" t="s">
        <v>415</v>
      </c>
      <c r="B52" s="183" t="s">
        <v>114</v>
      </c>
      <c r="C52" s="322" t="s">
        <v>115</v>
      </c>
      <c r="D52" s="184" t="s">
        <v>107</v>
      </c>
      <c r="E52" s="181">
        <f>'MEMÓRIA DE CÁLCULO'!F400</f>
        <v>13.56</v>
      </c>
      <c r="F52" s="185">
        <v>174.23</v>
      </c>
      <c r="G52" s="181">
        <v>213.38</v>
      </c>
      <c r="H52" s="182">
        <f t="shared" si="7"/>
        <v>2893.43</v>
      </c>
      <c r="K52" s="324">
        <f t="shared" si="6"/>
        <v>213.38</v>
      </c>
      <c r="L52" s="323" t="s">
        <v>308</v>
      </c>
    </row>
    <row r="53" spans="1:11" s="59" customFormat="1" ht="51">
      <c r="A53" s="179" t="s">
        <v>416</v>
      </c>
      <c r="B53" s="416" t="s">
        <v>348</v>
      </c>
      <c r="C53" s="322" t="s">
        <v>541</v>
      </c>
      <c r="D53" s="184" t="s">
        <v>106</v>
      </c>
      <c r="E53" s="181">
        <f>'MEMÓRIA DE CÁLCULO'!F410</f>
        <v>22</v>
      </c>
      <c r="F53" s="185">
        <v>952.59</v>
      </c>
      <c r="G53" s="181">
        <v>1166.64</v>
      </c>
      <c r="H53" s="182">
        <f t="shared" si="7"/>
        <v>25666.08</v>
      </c>
      <c r="K53" s="324">
        <f t="shared" si="6"/>
        <v>1166.64</v>
      </c>
    </row>
    <row r="54" spans="1:11" s="59" customFormat="1" ht="20.25" customHeight="1">
      <c r="A54" s="179" t="s">
        <v>422</v>
      </c>
      <c r="B54" s="183" t="s">
        <v>312</v>
      </c>
      <c r="C54" s="180" t="s">
        <v>313</v>
      </c>
      <c r="D54" s="291" t="s">
        <v>107</v>
      </c>
      <c r="E54" s="181">
        <f>'MEMÓRIA DE CÁLCULO'!F436</f>
        <v>3.15</v>
      </c>
      <c r="F54" s="185">
        <v>380.06</v>
      </c>
      <c r="G54" s="181">
        <v>465.46</v>
      </c>
      <c r="H54" s="182">
        <f t="shared" si="7"/>
        <v>1466.2</v>
      </c>
      <c r="K54" s="324">
        <f t="shared" si="6"/>
        <v>465.46</v>
      </c>
    </row>
    <row r="55" spans="1:11" s="59" customFormat="1" ht="30">
      <c r="A55" s="179" t="s">
        <v>634</v>
      </c>
      <c r="B55" s="338" t="s">
        <v>385</v>
      </c>
      <c r="C55" s="339" t="s">
        <v>543</v>
      </c>
      <c r="D55" s="491" t="s">
        <v>106</v>
      </c>
      <c r="E55" s="335">
        <v>1</v>
      </c>
      <c r="F55" s="336">
        <v>2026.66</v>
      </c>
      <c r="G55" s="335">
        <v>2482.05</v>
      </c>
      <c r="H55" s="316">
        <f t="shared" si="7"/>
        <v>2482.05</v>
      </c>
      <c r="K55" s="324">
        <f t="shared" si="6"/>
        <v>2482.05</v>
      </c>
    </row>
    <row r="56" spans="1:11" s="137" customFormat="1" ht="16.5" customHeight="1">
      <c r="A56" s="186">
        <v>7</v>
      </c>
      <c r="B56" s="187"/>
      <c r="C56" s="188" t="s">
        <v>4</v>
      </c>
      <c r="D56" s="189"/>
      <c r="E56" s="190"/>
      <c r="F56" s="190"/>
      <c r="G56" s="191" t="s">
        <v>104</v>
      </c>
      <c r="H56" s="192">
        <f>SUM(H57:H63)</f>
        <v>44116.95</v>
      </c>
      <c r="K56" s="324">
        <f t="shared" si="6"/>
        <v>0</v>
      </c>
    </row>
    <row r="57" spans="1:11" s="266" customFormat="1" ht="30">
      <c r="A57" s="179" t="s">
        <v>75</v>
      </c>
      <c r="B57" s="183" t="s">
        <v>338</v>
      </c>
      <c r="C57" s="180" t="s">
        <v>339</v>
      </c>
      <c r="D57" s="184" t="s">
        <v>107</v>
      </c>
      <c r="E57" s="181">
        <f>'MEMÓRIA DE CÁLCULO'!F444</f>
        <v>200</v>
      </c>
      <c r="F57" s="495">
        <v>1.57</v>
      </c>
      <c r="G57" s="181">
        <v>1.92</v>
      </c>
      <c r="H57" s="182">
        <f aca="true" t="shared" si="8" ref="H57:H63">E57*G57</f>
        <v>384</v>
      </c>
      <c r="K57" s="324">
        <f t="shared" si="6"/>
        <v>1.92</v>
      </c>
    </row>
    <row r="58" spans="1:11" s="266" customFormat="1" ht="30">
      <c r="A58" s="179" t="s">
        <v>117</v>
      </c>
      <c r="B58" s="289" t="s">
        <v>323</v>
      </c>
      <c r="C58" s="290" t="str">
        <f>COMPOSIÇÃO_COBERTURA!C9</f>
        <v>TELHAMENTO COM TELHA CERÂMICA CAPA-CANAL, TIPO COLONIAL, COM ATÉ 2 ÁGUAS,INCLUSO TRANSPORTE VERTICAL. AF_07/2019</v>
      </c>
      <c r="D58" s="291" t="s">
        <v>19</v>
      </c>
      <c r="E58" s="383">
        <f>'MEMÓRIA DE CÁLCULO'!F450</f>
        <v>248.65</v>
      </c>
      <c r="F58" s="181">
        <v>13.29</v>
      </c>
      <c r="G58" s="185">
        <v>16.28</v>
      </c>
      <c r="H58" s="182">
        <f t="shared" si="8"/>
        <v>4048.02</v>
      </c>
      <c r="K58" s="324">
        <f t="shared" si="6"/>
        <v>16.28</v>
      </c>
    </row>
    <row r="59" spans="1:11" s="266" customFormat="1" ht="32.25" customHeight="1">
      <c r="A59" s="179" t="s">
        <v>76</v>
      </c>
      <c r="B59" s="289" t="s">
        <v>411</v>
      </c>
      <c r="C59" s="290" t="s">
        <v>412</v>
      </c>
      <c r="D59" s="291" t="s">
        <v>107</v>
      </c>
      <c r="E59" s="383">
        <f>'MEMÓRIA DE CÁLCULO'!F460</f>
        <v>66.79</v>
      </c>
      <c r="F59" s="256">
        <v>115.85</v>
      </c>
      <c r="G59" s="185">
        <v>141.88</v>
      </c>
      <c r="H59" s="182">
        <f t="shared" si="8"/>
        <v>9476.17</v>
      </c>
      <c r="K59" s="324">
        <f t="shared" si="6"/>
        <v>141.88</v>
      </c>
    </row>
    <row r="60" spans="1:11" s="266" customFormat="1" ht="30">
      <c r="A60" s="179" t="s">
        <v>281</v>
      </c>
      <c r="B60" s="289" t="s">
        <v>413</v>
      </c>
      <c r="C60" s="290" t="s">
        <v>414</v>
      </c>
      <c r="D60" s="291" t="s">
        <v>107</v>
      </c>
      <c r="E60" s="383">
        <f>'MEMÓRIA DE CÁLCULO'!F471</f>
        <v>73.47</v>
      </c>
      <c r="F60" s="256">
        <v>56.43</v>
      </c>
      <c r="G60" s="185">
        <v>69.11</v>
      </c>
      <c r="H60" s="182">
        <f t="shared" si="8"/>
        <v>5077.51</v>
      </c>
      <c r="K60" s="324">
        <f>F60*1.2247</f>
        <v>69.11</v>
      </c>
    </row>
    <row r="61" spans="1:11" s="266" customFormat="1" ht="30">
      <c r="A61" s="179" t="s">
        <v>288</v>
      </c>
      <c r="B61" s="289" t="s">
        <v>421</v>
      </c>
      <c r="C61" s="290" t="s">
        <v>544</v>
      </c>
      <c r="D61" s="184" t="s">
        <v>106</v>
      </c>
      <c r="E61" s="383">
        <f>'MEMÓRIA DE CÁLCULO'!F483</f>
        <v>1</v>
      </c>
      <c r="F61" s="256">
        <v>724.2</v>
      </c>
      <c r="G61" s="185">
        <v>886.93</v>
      </c>
      <c r="H61" s="182">
        <f t="shared" si="8"/>
        <v>886.93</v>
      </c>
      <c r="K61" s="324">
        <f t="shared" si="6"/>
        <v>886.93</v>
      </c>
    </row>
    <row r="62" spans="1:13" s="59" customFormat="1" ht="40.5">
      <c r="A62" s="179" t="s">
        <v>623</v>
      </c>
      <c r="B62" s="183" t="s">
        <v>375</v>
      </c>
      <c r="C62" s="180" t="s">
        <v>512</v>
      </c>
      <c r="D62" s="184" t="s">
        <v>107</v>
      </c>
      <c r="E62" s="181">
        <f>'MEMÓRIA DE CÁLCULO'!F488</f>
        <v>222.78</v>
      </c>
      <c r="F62" s="185">
        <v>70.95</v>
      </c>
      <c r="G62" s="181">
        <v>86.89</v>
      </c>
      <c r="H62" s="182">
        <f t="shared" si="8"/>
        <v>19357.35</v>
      </c>
      <c r="K62" s="324">
        <f>F62*1.2247</f>
        <v>86.89</v>
      </c>
      <c r="M62" s="146">
        <f>H63+H62</f>
        <v>24244.32</v>
      </c>
    </row>
    <row r="63" spans="1:13" s="59" customFormat="1" ht="20.25">
      <c r="A63" s="179" t="s">
        <v>624</v>
      </c>
      <c r="B63" s="338" t="s">
        <v>289</v>
      </c>
      <c r="C63" s="339" t="s">
        <v>290</v>
      </c>
      <c r="D63" s="491" t="s">
        <v>25</v>
      </c>
      <c r="E63" s="315">
        <f>'MEMÓRIA DE CÁLCULO'!F517</f>
        <v>268.22</v>
      </c>
      <c r="F63" s="495">
        <v>14.88</v>
      </c>
      <c r="G63" s="315">
        <v>18.22</v>
      </c>
      <c r="H63" s="316">
        <f t="shared" si="8"/>
        <v>4886.97</v>
      </c>
      <c r="K63" s="324">
        <f>F63*1.2247</f>
        <v>18.22</v>
      </c>
      <c r="M63" s="59">
        <f>M62/H56</f>
        <v>0.549546602836325</v>
      </c>
    </row>
    <row r="64" spans="1:11" s="137" customFormat="1" ht="16.5" customHeight="1">
      <c r="A64" s="130">
        <v>8</v>
      </c>
      <c r="B64" s="142"/>
      <c r="C64" s="143" t="s">
        <v>116</v>
      </c>
      <c r="D64" s="144"/>
      <c r="E64" s="145"/>
      <c r="F64" s="145"/>
      <c r="G64" s="135" t="s">
        <v>104</v>
      </c>
      <c r="H64" s="136">
        <f>SUM(H65:H67)</f>
        <v>14087.34</v>
      </c>
      <c r="K64" s="324">
        <f t="shared" si="6"/>
        <v>0</v>
      </c>
    </row>
    <row r="65" spans="1:11" s="59" customFormat="1" ht="36" customHeight="1">
      <c r="A65" s="179" t="s">
        <v>29</v>
      </c>
      <c r="B65" s="183" t="s">
        <v>279</v>
      </c>
      <c r="C65" s="180" t="s">
        <v>280</v>
      </c>
      <c r="D65" s="184" t="s">
        <v>107</v>
      </c>
      <c r="E65" s="181">
        <f>'MEMÓRIA DE CÁLCULO'!F548</f>
        <v>266.36</v>
      </c>
      <c r="F65" s="185">
        <v>4.56</v>
      </c>
      <c r="G65" s="181">
        <v>5.58</v>
      </c>
      <c r="H65" s="182">
        <f aca="true" t="shared" si="9" ref="H65:H85">E65*G65</f>
        <v>1486.29</v>
      </c>
      <c r="K65" s="324">
        <f t="shared" si="6"/>
        <v>5.58</v>
      </c>
    </row>
    <row r="66" spans="1:11" s="59" customFormat="1" ht="51">
      <c r="A66" s="179" t="s">
        <v>316</v>
      </c>
      <c r="B66" s="183" t="s">
        <v>341</v>
      </c>
      <c r="C66" s="180" t="s">
        <v>510</v>
      </c>
      <c r="D66" s="184" t="s">
        <v>107</v>
      </c>
      <c r="E66" s="181">
        <f>'MEMÓRIA DE CÁLCULO'!F567</f>
        <v>232.95</v>
      </c>
      <c r="F66" s="185">
        <v>39.91</v>
      </c>
      <c r="G66" s="181">
        <v>48.88</v>
      </c>
      <c r="H66" s="182">
        <f>E66*G66</f>
        <v>11386.6</v>
      </c>
      <c r="K66" s="324">
        <f t="shared" si="6"/>
        <v>48.88</v>
      </c>
    </row>
    <row r="67" spans="1:11" s="59" customFormat="1" ht="59.25" customHeight="1">
      <c r="A67" s="179" t="s">
        <v>317</v>
      </c>
      <c r="B67" s="183" t="s">
        <v>342</v>
      </c>
      <c r="C67" s="180" t="s">
        <v>511</v>
      </c>
      <c r="D67" s="184" t="s">
        <v>107</v>
      </c>
      <c r="E67" s="181">
        <f>'MEMÓRIA DE CÁLCULO'!F587</f>
        <v>25.67</v>
      </c>
      <c r="F67" s="185">
        <v>38.63</v>
      </c>
      <c r="G67" s="181">
        <v>47.31</v>
      </c>
      <c r="H67" s="182">
        <f>E67*G67</f>
        <v>1214.45</v>
      </c>
      <c r="K67" s="324">
        <f t="shared" si="6"/>
        <v>47.31</v>
      </c>
    </row>
    <row r="68" spans="1:11" s="137" customFormat="1" ht="16.5" customHeight="1">
      <c r="A68" s="186">
        <v>9</v>
      </c>
      <c r="B68" s="187"/>
      <c r="C68" s="188" t="s">
        <v>64</v>
      </c>
      <c r="D68" s="189"/>
      <c r="E68" s="190"/>
      <c r="F68" s="190"/>
      <c r="G68" s="191" t="s">
        <v>104</v>
      </c>
      <c r="H68" s="192">
        <f>SUM(H69:H75)</f>
        <v>26787.11</v>
      </c>
      <c r="K68" s="324">
        <f t="shared" si="6"/>
        <v>0</v>
      </c>
    </row>
    <row r="69" spans="1:11" s="137" customFormat="1" ht="48.75" customHeight="1">
      <c r="A69" s="179" t="s">
        <v>77</v>
      </c>
      <c r="B69" s="258" t="s">
        <v>456</v>
      </c>
      <c r="C69" s="259" t="s">
        <v>517</v>
      </c>
      <c r="D69" s="260" t="s">
        <v>107</v>
      </c>
      <c r="E69" s="256">
        <f>'MEMÓRIA DE CÁLCULO'!F599</f>
        <v>48.95</v>
      </c>
      <c r="F69" s="256">
        <v>51.52</v>
      </c>
      <c r="G69" s="256">
        <v>63.1</v>
      </c>
      <c r="H69" s="382">
        <f>E69*G69</f>
        <v>3088.75</v>
      </c>
      <c r="K69" s="324">
        <f t="shared" si="6"/>
        <v>63.1</v>
      </c>
    </row>
    <row r="70" spans="1:11" s="137" customFormat="1" ht="20.25">
      <c r="A70" s="179" t="s">
        <v>122</v>
      </c>
      <c r="B70" s="258" t="s">
        <v>457</v>
      </c>
      <c r="C70" s="259" t="s">
        <v>518</v>
      </c>
      <c r="D70" s="260" t="s">
        <v>107</v>
      </c>
      <c r="E70" s="256">
        <f>'MEMÓRIA DE CÁLCULO'!F605</f>
        <v>51.84</v>
      </c>
      <c r="F70" s="256">
        <v>33.97</v>
      </c>
      <c r="G70" s="256">
        <v>41.6</v>
      </c>
      <c r="H70" s="382">
        <f>E70*G70</f>
        <v>2156.54</v>
      </c>
      <c r="K70" s="324">
        <f t="shared" si="6"/>
        <v>41.6</v>
      </c>
    </row>
    <row r="71" spans="1:11" s="59" customFormat="1" ht="30">
      <c r="A71" s="179" t="s">
        <v>123</v>
      </c>
      <c r="B71" s="183" t="s">
        <v>314</v>
      </c>
      <c r="C71" s="180" t="s">
        <v>315</v>
      </c>
      <c r="D71" s="184" t="s">
        <v>107</v>
      </c>
      <c r="E71" s="181">
        <f>'MEMÓRIA DE CÁLCULO'!F613</f>
        <v>27.12</v>
      </c>
      <c r="F71" s="181">
        <v>70.28</v>
      </c>
      <c r="G71" s="181">
        <v>86.07</v>
      </c>
      <c r="H71" s="182">
        <f>E71*G71</f>
        <v>2334.22</v>
      </c>
      <c r="K71" s="324">
        <f t="shared" si="6"/>
        <v>86.07</v>
      </c>
    </row>
    <row r="72" spans="1:11" s="59" customFormat="1" ht="30">
      <c r="A72" s="179" t="s">
        <v>126</v>
      </c>
      <c r="B72" s="289" t="s">
        <v>318</v>
      </c>
      <c r="C72" s="290" t="s">
        <v>319</v>
      </c>
      <c r="D72" s="184" t="s">
        <v>107</v>
      </c>
      <c r="E72" s="256">
        <f>'MEMÓRIA DE CÁLCULO'!F627</f>
        <v>65.22</v>
      </c>
      <c r="F72" s="256">
        <v>58.31</v>
      </c>
      <c r="G72" s="256">
        <v>71.41</v>
      </c>
      <c r="H72" s="182">
        <f t="shared" si="9"/>
        <v>4657.36</v>
      </c>
      <c r="K72" s="324">
        <f t="shared" si="6"/>
        <v>71.41</v>
      </c>
    </row>
    <row r="73" spans="1:11" s="59" customFormat="1" ht="30">
      <c r="A73" s="179" t="s">
        <v>458</v>
      </c>
      <c r="B73" s="289" t="s">
        <v>320</v>
      </c>
      <c r="C73" s="290" t="s">
        <v>321</v>
      </c>
      <c r="D73" s="184" t="s">
        <v>107</v>
      </c>
      <c r="E73" s="256">
        <f>'MEMÓRIA DE CÁLCULO'!F641</f>
        <v>130.44</v>
      </c>
      <c r="F73" s="256">
        <v>50.51</v>
      </c>
      <c r="G73" s="256">
        <v>61.86</v>
      </c>
      <c r="H73" s="182">
        <f t="shared" si="9"/>
        <v>8069.02</v>
      </c>
      <c r="K73" s="324">
        <f t="shared" si="6"/>
        <v>61.86</v>
      </c>
    </row>
    <row r="74" spans="1:11" s="59" customFormat="1" ht="20.25">
      <c r="A74" s="459" t="s">
        <v>459</v>
      </c>
      <c r="B74" s="338" t="s">
        <v>322</v>
      </c>
      <c r="C74" s="339" t="s">
        <v>392</v>
      </c>
      <c r="D74" s="340" t="s">
        <v>25</v>
      </c>
      <c r="E74" s="335">
        <f>'MEMÓRIA DE CÁLCULO'!F654</f>
        <v>250.55</v>
      </c>
      <c r="F74" s="335">
        <v>8.4</v>
      </c>
      <c r="G74" s="335">
        <v>10.29</v>
      </c>
      <c r="H74" s="316">
        <f t="shared" si="9"/>
        <v>2578.16</v>
      </c>
      <c r="K74" s="324">
        <f>F74*1.2247</f>
        <v>10.29</v>
      </c>
    </row>
    <row r="75" spans="1:11" s="59" customFormat="1" ht="60.75">
      <c r="A75" s="306" t="s">
        <v>629</v>
      </c>
      <c r="B75" s="183" t="s">
        <v>630</v>
      </c>
      <c r="C75" s="180" t="s">
        <v>631</v>
      </c>
      <c r="D75" s="184" t="s">
        <v>107</v>
      </c>
      <c r="E75" s="181">
        <f>'MEMÓRIA DE CÁLCULO'!F679</f>
        <v>46.19</v>
      </c>
      <c r="F75" s="181">
        <v>69</v>
      </c>
      <c r="G75" s="181">
        <v>84.5</v>
      </c>
      <c r="H75" s="181">
        <f t="shared" si="9"/>
        <v>3903.06</v>
      </c>
      <c r="K75" s="324">
        <f>F75*1.2247</f>
        <v>84.5</v>
      </c>
    </row>
    <row r="76" spans="1:11" s="137" customFormat="1" ht="16.5" customHeight="1">
      <c r="A76" s="130">
        <v>10</v>
      </c>
      <c r="B76" s="142"/>
      <c r="C76" s="143" t="s">
        <v>5</v>
      </c>
      <c r="D76" s="144"/>
      <c r="E76" s="145"/>
      <c r="F76" s="145"/>
      <c r="G76" s="135" t="s">
        <v>104</v>
      </c>
      <c r="H76" s="147">
        <f>SUM(H77:H85)</f>
        <v>39718.65</v>
      </c>
      <c r="K76" s="324">
        <f t="shared" si="6"/>
        <v>0</v>
      </c>
    </row>
    <row r="77" spans="1:11" s="137" customFormat="1" ht="16.5" customHeight="1">
      <c r="A77" s="179" t="s">
        <v>78</v>
      </c>
      <c r="B77" s="258" t="s">
        <v>302</v>
      </c>
      <c r="C77" s="259" t="s">
        <v>303</v>
      </c>
      <c r="D77" s="260" t="s">
        <v>107</v>
      </c>
      <c r="E77" s="256">
        <f>'MEMÓRIA DE CÁLCULO'!F692</f>
        <v>858.54</v>
      </c>
      <c r="F77" s="257">
        <v>2.72</v>
      </c>
      <c r="G77" s="181">
        <v>3.33</v>
      </c>
      <c r="H77" s="182">
        <f>E77*G77</f>
        <v>2858.94</v>
      </c>
      <c r="K77" s="324">
        <f t="shared" si="6"/>
        <v>3.33</v>
      </c>
    </row>
    <row r="78" spans="1:11" s="137" customFormat="1" ht="23.25" customHeight="1">
      <c r="A78" s="179" t="s">
        <v>79</v>
      </c>
      <c r="B78" s="258" t="s">
        <v>393</v>
      </c>
      <c r="C78" s="433" t="s">
        <v>558</v>
      </c>
      <c r="D78" s="260" t="s">
        <v>107</v>
      </c>
      <c r="E78" s="256">
        <f>'MEMÓRIA DE CÁLCULO'!F723</f>
        <v>674.1</v>
      </c>
      <c r="F78" s="257">
        <v>11.15</v>
      </c>
      <c r="G78" s="181">
        <v>13.66</v>
      </c>
      <c r="H78" s="182">
        <f>E78*G78</f>
        <v>9208.21</v>
      </c>
      <c r="K78" s="324">
        <f t="shared" si="6"/>
        <v>13.66</v>
      </c>
    </row>
    <row r="79" spans="1:11" s="59" customFormat="1" ht="25.5" customHeight="1">
      <c r="A79" s="179" t="s">
        <v>80</v>
      </c>
      <c r="B79" s="183" t="s">
        <v>118</v>
      </c>
      <c r="C79" s="180" t="s">
        <v>559</v>
      </c>
      <c r="D79" s="184" t="s">
        <v>107</v>
      </c>
      <c r="E79" s="181">
        <f>'MEMÓRIA DE CÁLCULO'!F752</f>
        <v>259.73</v>
      </c>
      <c r="F79" s="185">
        <v>3.07</v>
      </c>
      <c r="G79" s="181">
        <v>3.76</v>
      </c>
      <c r="H79" s="182">
        <f t="shared" si="9"/>
        <v>976.58</v>
      </c>
      <c r="K79" s="324">
        <f t="shared" si="6"/>
        <v>3.76</v>
      </c>
    </row>
    <row r="80" spans="1:11" s="59" customFormat="1" ht="20.25">
      <c r="A80" s="179" t="s">
        <v>81</v>
      </c>
      <c r="B80" s="183" t="s">
        <v>119</v>
      </c>
      <c r="C80" s="180" t="s">
        <v>42</v>
      </c>
      <c r="D80" s="184" t="s">
        <v>107</v>
      </c>
      <c r="E80" s="181">
        <f>'MEMÓRIA DE CÁLCULO'!F771</f>
        <v>689</v>
      </c>
      <c r="F80" s="185">
        <v>12.23</v>
      </c>
      <c r="G80" s="181">
        <v>14.98</v>
      </c>
      <c r="H80" s="182">
        <f t="shared" si="9"/>
        <v>10321.22</v>
      </c>
      <c r="K80" s="324">
        <f t="shared" si="6"/>
        <v>14.98</v>
      </c>
    </row>
    <row r="81" spans="1:14" s="59" customFormat="1" ht="30">
      <c r="A81" s="179" t="s">
        <v>429</v>
      </c>
      <c r="B81" s="183" t="s">
        <v>454</v>
      </c>
      <c r="C81" s="180" t="s">
        <v>519</v>
      </c>
      <c r="D81" s="184" t="s">
        <v>107</v>
      </c>
      <c r="E81" s="181">
        <f>'MEMÓRIA DE CÁLCULO'!F803</f>
        <v>390</v>
      </c>
      <c r="F81" s="185">
        <v>21.75</v>
      </c>
      <c r="G81" s="181">
        <v>26.64</v>
      </c>
      <c r="H81" s="182">
        <f t="shared" si="9"/>
        <v>10389.6</v>
      </c>
      <c r="K81" s="324">
        <f t="shared" si="6"/>
        <v>26.64</v>
      </c>
      <c r="N81" s="59" t="s">
        <v>455</v>
      </c>
    </row>
    <row r="82" spans="1:11" s="59" customFormat="1" ht="26.25" customHeight="1">
      <c r="A82" s="179" t="s">
        <v>430</v>
      </c>
      <c r="B82" s="183" t="s">
        <v>310</v>
      </c>
      <c r="C82" s="180" t="s">
        <v>520</v>
      </c>
      <c r="D82" s="184" t="s">
        <v>107</v>
      </c>
      <c r="E82" s="181">
        <f>'MEMÓRIA DE CÁLCULO'!F830</f>
        <v>75.44</v>
      </c>
      <c r="F82" s="185">
        <v>4.63</v>
      </c>
      <c r="G82" s="181">
        <v>5.67</v>
      </c>
      <c r="H82" s="182">
        <f t="shared" si="9"/>
        <v>427.74</v>
      </c>
      <c r="K82" s="324">
        <f t="shared" si="6"/>
        <v>5.67</v>
      </c>
    </row>
    <row r="83" spans="1:11" s="59" customFormat="1" ht="27.75" customHeight="1">
      <c r="A83" s="179" t="s">
        <v>431</v>
      </c>
      <c r="B83" s="183" t="s">
        <v>120</v>
      </c>
      <c r="C83" s="180" t="s">
        <v>46</v>
      </c>
      <c r="D83" s="184" t="s">
        <v>107</v>
      </c>
      <c r="E83" s="181">
        <f>'MEMÓRIA DE CÁLCULO'!F850</f>
        <v>57.84</v>
      </c>
      <c r="F83" s="185">
        <v>31.98</v>
      </c>
      <c r="G83" s="181">
        <v>39.17</v>
      </c>
      <c r="H83" s="182">
        <f t="shared" si="9"/>
        <v>2265.59</v>
      </c>
      <c r="K83" s="324">
        <f t="shared" si="6"/>
        <v>39.17</v>
      </c>
    </row>
    <row r="84" spans="1:11" s="59" customFormat="1" ht="30">
      <c r="A84" s="179" t="s">
        <v>432</v>
      </c>
      <c r="B84" s="338" t="s">
        <v>363</v>
      </c>
      <c r="C84" s="339" t="s">
        <v>521</v>
      </c>
      <c r="D84" s="349" t="s">
        <v>107</v>
      </c>
      <c r="E84" s="335">
        <v>111.08</v>
      </c>
      <c r="F84" s="336">
        <v>20.8</v>
      </c>
      <c r="G84" s="335">
        <v>25.47</v>
      </c>
      <c r="H84" s="182">
        <f t="shared" si="9"/>
        <v>2829.21</v>
      </c>
      <c r="K84" s="324">
        <f t="shared" si="6"/>
        <v>25.47</v>
      </c>
    </row>
    <row r="85" spans="1:11" s="59" customFormat="1" ht="30">
      <c r="A85" s="459" t="s">
        <v>433</v>
      </c>
      <c r="B85" s="493" t="s">
        <v>365</v>
      </c>
      <c r="C85" s="494" t="s">
        <v>522</v>
      </c>
      <c r="D85" s="340" t="s">
        <v>107</v>
      </c>
      <c r="E85" s="315">
        <f>'MEMÓRIA DE CÁLCULO'!F882</f>
        <v>32.16</v>
      </c>
      <c r="F85" s="495">
        <v>11.21</v>
      </c>
      <c r="G85" s="315">
        <v>13.73</v>
      </c>
      <c r="H85" s="316">
        <f t="shared" si="9"/>
        <v>441.56</v>
      </c>
      <c r="K85" s="324">
        <f t="shared" si="6"/>
        <v>13.73</v>
      </c>
    </row>
    <row r="86" spans="1:11" s="137" customFormat="1" ht="16.5" customHeight="1">
      <c r="A86" s="186">
        <v>11</v>
      </c>
      <c r="B86" s="187"/>
      <c r="C86" s="188" t="s">
        <v>121</v>
      </c>
      <c r="D86" s="189"/>
      <c r="E86" s="190"/>
      <c r="F86" s="190"/>
      <c r="G86" s="191" t="s">
        <v>104</v>
      </c>
      <c r="H86" s="192">
        <f>SUM(H87:H93)</f>
        <v>5587.92</v>
      </c>
      <c r="K86" s="141">
        <f aca="true" t="shared" si="10" ref="K86:K109">F86*1.2247</f>
        <v>0</v>
      </c>
    </row>
    <row r="87" spans="1:11" s="59" customFormat="1" ht="48.75" customHeight="1">
      <c r="A87" s="179" t="s">
        <v>57</v>
      </c>
      <c r="B87" s="258">
        <v>89957</v>
      </c>
      <c r="C87" s="259" t="s">
        <v>386</v>
      </c>
      <c r="D87" s="260" t="s">
        <v>106</v>
      </c>
      <c r="E87" s="256">
        <f>'MEMÓRIA DE CÁLCULO'!F897</f>
        <v>5</v>
      </c>
      <c r="F87" s="257">
        <v>143.72</v>
      </c>
      <c r="G87" s="181">
        <v>176.01</v>
      </c>
      <c r="H87" s="182">
        <f aca="true" t="shared" si="11" ref="H87:H93">E87*G87</f>
        <v>880.05</v>
      </c>
      <c r="K87" s="141">
        <f aca="true" t="shared" si="12" ref="K87:K93">F87*1.2247</f>
        <v>176.01</v>
      </c>
    </row>
    <row r="88" spans="1:11" s="59" customFormat="1" ht="45" customHeight="1">
      <c r="A88" s="179" t="s">
        <v>58</v>
      </c>
      <c r="B88" s="289" t="s">
        <v>387</v>
      </c>
      <c r="C88" s="290" t="s">
        <v>564</v>
      </c>
      <c r="D88" s="291" t="s">
        <v>25</v>
      </c>
      <c r="E88" s="256">
        <f>'MEMÓRIA DE CÁLCULO'!F904</f>
        <v>9</v>
      </c>
      <c r="F88" s="257">
        <v>48.75</v>
      </c>
      <c r="G88" s="256">
        <v>59.7</v>
      </c>
      <c r="H88" s="182">
        <f t="shared" si="11"/>
        <v>537.3</v>
      </c>
      <c r="K88" s="141">
        <f t="shared" si="12"/>
        <v>59.7</v>
      </c>
    </row>
    <row r="89" spans="1:11" s="59" customFormat="1" ht="71.25">
      <c r="A89" s="179" t="s">
        <v>82</v>
      </c>
      <c r="B89" s="258" t="s">
        <v>124</v>
      </c>
      <c r="C89" s="259" t="s">
        <v>125</v>
      </c>
      <c r="D89" s="260" t="s">
        <v>106</v>
      </c>
      <c r="E89" s="256">
        <f>'MEMÓRIA DE CÁLCULO'!F911</f>
        <v>6</v>
      </c>
      <c r="F89" s="257">
        <v>153.18</v>
      </c>
      <c r="G89" s="181">
        <v>187.6</v>
      </c>
      <c r="H89" s="182">
        <f t="shared" si="11"/>
        <v>1125.6</v>
      </c>
      <c r="K89" s="141">
        <f t="shared" si="12"/>
        <v>187.6</v>
      </c>
    </row>
    <row r="90" spans="1:11" s="59" customFormat="1" ht="51">
      <c r="A90" s="179" t="s">
        <v>83</v>
      </c>
      <c r="B90" s="258" t="s">
        <v>127</v>
      </c>
      <c r="C90" s="259" t="s">
        <v>128</v>
      </c>
      <c r="D90" s="260" t="s">
        <v>106</v>
      </c>
      <c r="E90" s="256">
        <f>'MEMÓRIA DE CÁLCULO'!F920</f>
        <v>6</v>
      </c>
      <c r="F90" s="257">
        <v>313.55</v>
      </c>
      <c r="G90" s="181">
        <v>384</v>
      </c>
      <c r="H90" s="182">
        <f t="shared" si="11"/>
        <v>2304</v>
      </c>
      <c r="K90" s="141">
        <f t="shared" si="12"/>
        <v>384</v>
      </c>
    </row>
    <row r="91" spans="1:11" s="331" customFormat="1" ht="51">
      <c r="A91" s="179" t="s">
        <v>136</v>
      </c>
      <c r="B91" s="258" t="s">
        <v>129</v>
      </c>
      <c r="C91" s="259" t="s">
        <v>130</v>
      </c>
      <c r="D91" s="260" t="s">
        <v>106</v>
      </c>
      <c r="E91" s="256">
        <f>'MEMÓRIA DE CÁLCULO'!F930</f>
        <v>3</v>
      </c>
      <c r="F91" s="257">
        <v>163.56</v>
      </c>
      <c r="G91" s="181">
        <v>200.31</v>
      </c>
      <c r="H91" s="182">
        <f t="shared" si="11"/>
        <v>600.93</v>
      </c>
      <c r="K91" s="332">
        <f t="shared" si="12"/>
        <v>200.31</v>
      </c>
    </row>
    <row r="92" spans="1:11" s="331" customFormat="1" ht="20.25">
      <c r="A92" s="179" t="s">
        <v>575</v>
      </c>
      <c r="B92" s="258">
        <v>90447</v>
      </c>
      <c r="C92" s="259" t="s">
        <v>574</v>
      </c>
      <c r="D92" s="260" t="s">
        <v>25</v>
      </c>
      <c r="E92" s="256">
        <v>12</v>
      </c>
      <c r="F92" s="257">
        <v>6.38</v>
      </c>
      <c r="G92" s="256">
        <v>7.81</v>
      </c>
      <c r="H92" s="182">
        <f t="shared" si="11"/>
        <v>93.72</v>
      </c>
      <c r="K92" s="332">
        <f t="shared" si="12"/>
        <v>7.81</v>
      </c>
    </row>
    <row r="93" spans="1:11" s="331" customFormat="1" ht="40.5">
      <c r="A93" s="179" t="s">
        <v>576</v>
      </c>
      <c r="B93" s="258" t="s">
        <v>577</v>
      </c>
      <c r="C93" s="259" t="s">
        <v>578</v>
      </c>
      <c r="D93" s="260" t="s">
        <v>25</v>
      </c>
      <c r="E93" s="256">
        <v>12</v>
      </c>
      <c r="F93" s="257">
        <v>3.15</v>
      </c>
      <c r="G93" s="256">
        <v>3.86</v>
      </c>
      <c r="H93" s="382">
        <f t="shared" si="11"/>
        <v>46.32</v>
      </c>
      <c r="K93" s="332">
        <f t="shared" si="12"/>
        <v>3.86</v>
      </c>
    </row>
    <row r="94" spans="1:11" s="137" customFormat="1" ht="16.5" customHeight="1">
      <c r="A94" s="130">
        <v>12</v>
      </c>
      <c r="B94" s="142"/>
      <c r="C94" s="143" t="s">
        <v>43</v>
      </c>
      <c r="D94" s="144"/>
      <c r="E94" s="145"/>
      <c r="F94" s="145"/>
      <c r="G94" s="191" t="s">
        <v>104</v>
      </c>
      <c r="H94" s="147">
        <f>SUM(H95:H107)</f>
        <v>10685.14</v>
      </c>
      <c r="K94" s="141">
        <f t="shared" si="10"/>
        <v>0</v>
      </c>
    </row>
    <row r="95" spans="1:11" s="59" customFormat="1" ht="51">
      <c r="A95" s="179" t="s">
        <v>84</v>
      </c>
      <c r="B95" s="183" t="s">
        <v>131</v>
      </c>
      <c r="C95" s="180" t="s">
        <v>44</v>
      </c>
      <c r="D95" s="184" t="s">
        <v>106</v>
      </c>
      <c r="E95" s="181">
        <f>'MEMÓRIA DE CÁLCULO'!F939</f>
        <v>4</v>
      </c>
      <c r="F95" s="185">
        <v>575.82</v>
      </c>
      <c r="G95" s="181">
        <v>705.21</v>
      </c>
      <c r="H95" s="182">
        <f aca="true" t="shared" si="13" ref="H95:H105">E95*G95</f>
        <v>2820.84</v>
      </c>
      <c r="K95" s="141">
        <f t="shared" si="10"/>
        <v>705.21</v>
      </c>
    </row>
    <row r="96" spans="1:11" s="59" customFormat="1" ht="104.25" customHeight="1">
      <c r="A96" s="179" t="s">
        <v>85</v>
      </c>
      <c r="B96" s="183" t="s">
        <v>355</v>
      </c>
      <c r="C96" s="403" t="s">
        <v>523</v>
      </c>
      <c r="D96" s="184" t="s">
        <v>106</v>
      </c>
      <c r="E96" s="181">
        <v>1</v>
      </c>
      <c r="F96" s="185">
        <v>593.23</v>
      </c>
      <c r="G96" s="181">
        <v>726.53</v>
      </c>
      <c r="H96" s="182">
        <f t="shared" si="13"/>
        <v>726.53</v>
      </c>
      <c r="K96" s="141">
        <f t="shared" si="10"/>
        <v>726.53</v>
      </c>
    </row>
    <row r="97" spans="1:11" s="59" customFormat="1" ht="20.25">
      <c r="A97" s="179" t="s">
        <v>86</v>
      </c>
      <c r="B97" s="183" t="s">
        <v>565</v>
      </c>
      <c r="C97" s="403" t="s">
        <v>566</v>
      </c>
      <c r="D97" s="184" t="s">
        <v>106</v>
      </c>
      <c r="E97" s="181">
        <v>5</v>
      </c>
      <c r="F97" s="185">
        <v>281.2</v>
      </c>
      <c r="G97" s="181">
        <v>344.39</v>
      </c>
      <c r="H97" s="182">
        <f t="shared" si="13"/>
        <v>1721.95</v>
      </c>
      <c r="K97" s="141">
        <f t="shared" si="10"/>
        <v>344.39</v>
      </c>
    </row>
    <row r="98" spans="1:11" s="59" customFormat="1" ht="40.5">
      <c r="A98" s="179" t="s">
        <v>434</v>
      </c>
      <c r="B98" s="183" t="s">
        <v>568</v>
      </c>
      <c r="C98" s="180" t="s">
        <v>569</v>
      </c>
      <c r="D98" s="184" t="s">
        <v>106</v>
      </c>
      <c r="E98" s="181">
        <f>'MEMÓRIA DE CÁLCULO'!F953</f>
        <v>5</v>
      </c>
      <c r="F98" s="185">
        <v>301.88</v>
      </c>
      <c r="G98" s="181">
        <v>173.05</v>
      </c>
      <c r="H98" s="182">
        <f t="shared" si="13"/>
        <v>865.25</v>
      </c>
      <c r="K98" s="141">
        <f t="shared" si="10"/>
        <v>369.71</v>
      </c>
    </row>
    <row r="99" spans="1:11" s="59" customFormat="1" ht="51">
      <c r="A99" s="179" t="s">
        <v>435</v>
      </c>
      <c r="B99" s="183" t="s">
        <v>356</v>
      </c>
      <c r="C99" s="180" t="s">
        <v>524</v>
      </c>
      <c r="D99" s="184" t="s">
        <v>106</v>
      </c>
      <c r="E99" s="181">
        <v>1</v>
      </c>
      <c r="F99" s="185">
        <v>565.43</v>
      </c>
      <c r="G99" s="181">
        <v>692.48</v>
      </c>
      <c r="H99" s="182">
        <f t="shared" si="13"/>
        <v>692.48</v>
      </c>
      <c r="K99" s="141">
        <f t="shared" si="10"/>
        <v>692.48</v>
      </c>
    </row>
    <row r="100" spans="1:11" s="59" customFormat="1" ht="20.25">
      <c r="A100" s="179" t="s">
        <v>436</v>
      </c>
      <c r="B100" s="183" t="s">
        <v>344</v>
      </c>
      <c r="C100" s="180" t="s">
        <v>346</v>
      </c>
      <c r="D100" s="184" t="s">
        <v>106</v>
      </c>
      <c r="E100" s="181">
        <f>'MEMÓRIA DE CÁLCULO'!F977</f>
        <v>5</v>
      </c>
      <c r="F100" s="185">
        <v>59.06</v>
      </c>
      <c r="G100" s="181">
        <v>72.33</v>
      </c>
      <c r="H100" s="182">
        <f t="shared" si="13"/>
        <v>361.65</v>
      </c>
      <c r="K100" s="141">
        <f t="shared" si="10"/>
        <v>72.33</v>
      </c>
    </row>
    <row r="101" spans="1:11" s="59" customFormat="1" ht="20.25">
      <c r="A101" s="179" t="s">
        <v>437</v>
      </c>
      <c r="B101" s="183" t="s">
        <v>345</v>
      </c>
      <c r="C101" s="180" t="s">
        <v>347</v>
      </c>
      <c r="D101" s="184" t="s">
        <v>106</v>
      </c>
      <c r="E101" s="181">
        <v>2</v>
      </c>
      <c r="F101" s="185">
        <v>43.77</v>
      </c>
      <c r="G101" s="181">
        <v>53.61</v>
      </c>
      <c r="H101" s="182">
        <f t="shared" si="13"/>
        <v>107.22</v>
      </c>
      <c r="K101" s="141">
        <f t="shared" si="10"/>
        <v>53.61</v>
      </c>
    </row>
    <row r="102" spans="1:11" s="59" customFormat="1" ht="30">
      <c r="A102" s="179" t="s">
        <v>438</v>
      </c>
      <c r="B102" s="183" t="s">
        <v>528</v>
      </c>
      <c r="C102" s="180" t="s">
        <v>529</v>
      </c>
      <c r="D102" s="184" t="s">
        <v>106</v>
      </c>
      <c r="E102" s="181">
        <v>1</v>
      </c>
      <c r="F102" s="185">
        <v>102.55</v>
      </c>
      <c r="G102" s="181">
        <v>125.59</v>
      </c>
      <c r="H102" s="182">
        <f t="shared" si="13"/>
        <v>125.59</v>
      </c>
      <c r="K102" s="141">
        <f t="shared" si="10"/>
        <v>125.59</v>
      </c>
    </row>
    <row r="103" spans="1:11" s="59" customFormat="1" ht="26.25" customHeight="1">
      <c r="A103" s="179" t="s">
        <v>439</v>
      </c>
      <c r="B103" s="183" t="s">
        <v>132</v>
      </c>
      <c r="C103" s="180" t="s">
        <v>133</v>
      </c>
      <c r="D103" s="184" t="s">
        <v>106</v>
      </c>
      <c r="E103" s="181">
        <f>'MEMÓRIA DE CÁLCULO'!F1005</f>
        <v>3</v>
      </c>
      <c r="F103" s="185">
        <v>353.33</v>
      </c>
      <c r="G103" s="181">
        <v>432.72</v>
      </c>
      <c r="H103" s="182">
        <f t="shared" si="13"/>
        <v>1298.16</v>
      </c>
      <c r="K103" s="141">
        <f t="shared" si="10"/>
        <v>432.72</v>
      </c>
    </row>
    <row r="104" spans="1:11" s="59" customFormat="1" ht="22.5" customHeight="1">
      <c r="A104" s="179" t="s">
        <v>440</v>
      </c>
      <c r="B104" s="183" t="s">
        <v>134</v>
      </c>
      <c r="C104" s="180" t="s">
        <v>45</v>
      </c>
      <c r="D104" s="184" t="s">
        <v>106</v>
      </c>
      <c r="E104" s="181">
        <v>1</v>
      </c>
      <c r="F104" s="185">
        <v>356.56</v>
      </c>
      <c r="G104" s="181">
        <v>436.68</v>
      </c>
      <c r="H104" s="182">
        <f t="shared" si="13"/>
        <v>436.68</v>
      </c>
      <c r="K104" s="141">
        <f t="shared" si="10"/>
        <v>436.68</v>
      </c>
    </row>
    <row r="105" spans="1:11" s="59" customFormat="1" ht="22.5" customHeight="1">
      <c r="A105" s="179" t="s">
        <v>527</v>
      </c>
      <c r="B105" s="183" t="s">
        <v>357</v>
      </c>
      <c r="C105" s="180" t="s">
        <v>358</v>
      </c>
      <c r="D105" s="184" t="s">
        <v>106</v>
      </c>
      <c r="E105" s="181">
        <f>'MEMÓRIA DE CÁLCULO'!F1011</f>
        <v>2</v>
      </c>
      <c r="F105" s="185">
        <v>89.43</v>
      </c>
      <c r="G105" s="181">
        <v>109.52</v>
      </c>
      <c r="H105" s="182">
        <f t="shared" si="13"/>
        <v>219.04</v>
      </c>
      <c r="K105" s="141">
        <f t="shared" si="10"/>
        <v>109.52</v>
      </c>
    </row>
    <row r="106" spans="1:11" s="59" customFormat="1" ht="29.25" customHeight="1">
      <c r="A106" s="179" t="s">
        <v>567</v>
      </c>
      <c r="B106" s="183" t="s">
        <v>304</v>
      </c>
      <c r="C106" s="180" t="s">
        <v>305</v>
      </c>
      <c r="D106" s="184" t="s">
        <v>107</v>
      </c>
      <c r="E106" s="181">
        <f>'MEMÓRIA DE CÁLCULO'!F1018</f>
        <v>2.64</v>
      </c>
      <c r="F106" s="185">
        <v>327.87</v>
      </c>
      <c r="G106" s="181">
        <v>401.54</v>
      </c>
      <c r="H106" s="182">
        <f>E106*G106</f>
        <v>1060.07</v>
      </c>
      <c r="K106" s="141">
        <f>F106*1.2247</f>
        <v>401.54</v>
      </c>
    </row>
    <row r="107" spans="1:11" s="59" customFormat="1" ht="20.25">
      <c r="A107" s="459" t="s">
        <v>570</v>
      </c>
      <c r="B107" s="338" t="s">
        <v>582</v>
      </c>
      <c r="C107" s="339" t="s">
        <v>583</v>
      </c>
      <c r="D107" s="491" t="s">
        <v>106</v>
      </c>
      <c r="E107" s="335">
        <v>1</v>
      </c>
      <c r="F107" s="336">
        <v>203.87</v>
      </c>
      <c r="G107" s="335">
        <v>249.68</v>
      </c>
      <c r="H107" s="316">
        <f>E107*G107</f>
        <v>249.68</v>
      </c>
      <c r="K107" s="141">
        <f>F107*1.2247</f>
        <v>249.68</v>
      </c>
    </row>
    <row r="108" spans="1:11" s="137" customFormat="1" ht="16.5" customHeight="1">
      <c r="A108" s="186">
        <v>13</v>
      </c>
      <c r="B108" s="187"/>
      <c r="C108" s="188" t="s">
        <v>135</v>
      </c>
      <c r="D108" s="189"/>
      <c r="E108" s="190"/>
      <c r="F108" s="190"/>
      <c r="G108" s="191" t="s">
        <v>104</v>
      </c>
      <c r="H108" s="192">
        <f>SUM(H109:H111)</f>
        <v>9522.71</v>
      </c>
      <c r="K108" s="141">
        <f t="shared" si="10"/>
        <v>0</v>
      </c>
    </row>
    <row r="109" spans="1:11" s="59" customFormat="1" ht="51">
      <c r="A109" s="179" t="s">
        <v>441</v>
      </c>
      <c r="B109" s="258">
        <v>104473</v>
      </c>
      <c r="C109" s="259" t="s">
        <v>525</v>
      </c>
      <c r="D109" s="184" t="s">
        <v>106</v>
      </c>
      <c r="E109" s="256">
        <f>'MEMÓRIA DE CÁLCULO'!F1027</f>
        <v>14</v>
      </c>
      <c r="F109" s="257">
        <v>150.34</v>
      </c>
      <c r="G109" s="256">
        <v>184.12</v>
      </c>
      <c r="H109" s="182">
        <f>E109*G109</f>
        <v>2577.68</v>
      </c>
      <c r="K109" s="141">
        <f t="shared" si="10"/>
        <v>184.12</v>
      </c>
    </row>
    <row r="110" spans="1:11" s="59" customFormat="1" ht="51">
      <c r="A110" s="179" t="s">
        <v>442</v>
      </c>
      <c r="B110" s="183" t="s">
        <v>378</v>
      </c>
      <c r="C110" s="180" t="s">
        <v>526</v>
      </c>
      <c r="D110" s="184" t="s">
        <v>106</v>
      </c>
      <c r="E110" s="181">
        <f>'MEMÓRIA DE CÁLCULO'!F1039</f>
        <v>36</v>
      </c>
      <c r="F110" s="185">
        <v>129.86</v>
      </c>
      <c r="G110" s="256">
        <v>159.04</v>
      </c>
      <c r="H110" s="182">
        <f>E110*G110</f>
        <v>5725.44</v>
      </c>
      <c r="K110" s="141">
        <f>F110*1.2247</f>
        <v>159.04</v>
      </c>
    </row>
    <row r="111" spans="1:11" s="59" customFormat="1" ht="30">
      <c r="A111" s="459" t="s">
        <v>443</v>
      </c>
      <c r="B111" s="493" t="s">
        <v>377</v>
      </c>
      <c r="C111" s="494" t="s">
        <v>391</v>
      </c>
      <c r="D111" s="491" t="s">
        <v>106</v>
      </c>
      <c r="E111" s="315">
        <f>'MEMÓRIA DE CÁLCULO'!F1058</f>
        <v>27</v>
      </c>
      <c r="F111" s="495">
        <v>36.88</v>
      </c>
      <c r="G111" s="335">
        <v>45.17</v>
      </c>
      <c r="H111" s="316">
        <f>E111*G111</f>
        <v>1219.59</v>
      </c>
      <c r="K111" s="141">
        <f>F111*1.2247</f>
        <v>45.17</v>
      </c>
    </row>
    <row r="112" spans="1:11" s="59" customFormat="1" ht="12.75">
      <c r="A112" s="186">
        <v>14</v>
      </c>
      <c r="B112" s="187"/>
      <c r="C112" s="188" t="s">
        <v>579</v>
      </c>
      <c r="D112" s="189"/>
      <c r="E112" s="190"/>
      <c r="F112" s="190"/>
      <c r="G112" s="191" t="s">
        <v>104</v>
      </c>
      <c r="H112" s="192">
        <f>H113</f>
        <v>17176.27</v>
      </c>
      <c r="K112" s="141">
        <f aca="true" t="shared" si="14" ref="K112:K122">F112*1.2247</f>
        <v>0</v>
      </c>
    </row>
    <row r="113" spans="1:14" s="59" customFormat="1" ht="40.5">
      <c r="A113" s="459" t="s">
        <v>580</v>
      </c>
      <c r="B113" s="496">
        <v>98081</v>
      </c>
      <c r="C113" s="309" t="s">
        <v>581</v>
      </c>
      <c r="D113" s="491" t="s">
        <v>106</v>
      </c>
      <c r="E113" s="335">
        <f>'MEMÓRIA DE CÁLCULO'!F1031</f>
        <v>1</v>
      </c>
      <c r="F113" s="336">
        <v>14024.88</v>
      </c>
      <c r="G113" s="335">
        <v>17176.27</v>
      </c>
      <c r="H113" s="316">
        <f>E113*G113</f>
        <v>17176.27</v>
      </c>
      <c r="K113" s="141">
        <f t="shared" si="14"/>
        <v>17176.27</v>
      </c>
      <c r="N113" s="59" t="s">
        <v>36</v>
      </c>
    </row>
    <row r="114" spans="1:11" s="59" customFormat="1" ht="12.75">
      <c r="A114" s="186">
        <v>15</v>
      </c>
      <c r="B114" s="187"/>
      <c r="C114" s="188" t="s">
        <v>626</v>
      </c>
      <c r="D114" s="189"/>
      <c r="E114" s="190"/>
      <c r="F114" s="190"/>
      <c r="G114" s="191" t="s">
        <v>104</v>
      </c>
      <c r="H114" s="192">
        <f>SUM(H115:H122)</f>
        <v>14457.58</v>
      </c>
      <c r="K114" s="141">
        <f t="shared" si="14"/>
        <v>0</v>
      </c>
    </row>
    <row r="115" spans="1:11" s="59" customFormat="1" ht="40.5">
      <c r="A115" s="179" t="s">
        <v>584</v>
      </c>
      <c r="B115" s="258" t="s">
        <v>610</v>
      </c>
      <c r="C115" s="259" t="s">
        <v>611</v>
      </c>
      <c r="D115" s="260" t="s">
        <v>108</v>
      </c>
      <c r="E115" s="256">
        <f>'MEMÓRIA DE CÁLCULO'!F1085</f>
        <v>3</v>
      </c>
      <c r="F115" s="257">
        <v>260.74</v>
      </c>
      <c r="G115" s="256">
        <v>319.33</v>
      </c>
      <c r="H115" s="182">
        <f>G115*E115</f>
        <v>957.99</v>
      </c>
      <c r="K115" s="141">
        <f t="shared" si="14"/>
        <v>319.33</v>
      </c>
    </row>
    <row r="116" spans="1:11" s="59" customFormat="1" ht="36.75" customHeight="1">
      <c r="A116" s="179" t="s">
        <v>587</v>
      </c>
      <c r="B116" s="258" t="s">
        <v>585</v>
      </c>
      <c r="C116" s="433" t="s">
        <v>586</v>
      </c>
      <c r="D116" s="184" t="s">
        <v>106</v>
      </c>
      <c r="E116" s="256">
        <v>1</v>
      </c>
      <c r="F116" s="257">
        <v>397.66</v>
      </c>
      <c r="G116" s="256">
        <v>487.01</v>
      </c>
      <c r="H116" s="182">
        <f aca="true" t="shared" si="15" ref="H116:H122">E116*G116</f>
        <v>487.01</v>
      </c>
      <c r="K116" s="141">
        <f t="shared" si="14"/>
        <v>487.01</v>
      </c>
    </row>
    <row r="117" spans="1:11" s="59" customFormat="1" ht="24" customHeight="1">
      <c r="A117" s="179" t="s">
        <v>589</v>
      </c>
      <c r="B117" s="258">
        <v>99855</v>
      </c>
      <c r="C117" s="433" t="s">
        <v>594</v>
      </c>
      <c r="D117" s="184" t="s">
        <v>25</v>
      </c>
      <c r="E117" s="256">
        <f>'MEMÓRIA DE CÁLCULO'!F1091</f>
        <v>7.8</v>
      </c>
      <c r="F117" s="257">
        <v>114.63</v>
      </c>
      <c r="G117" s="256">
        <v>140.39</v>
      </c>
      <c r="H117" s="182">
        <f t="shared" si="15"/>
        <v>1095.04</v>
      </c>
      <c r="K117" s="141">
        <f t="shared" si="14"/>
        <v>140.39</v>
      </c>
    </row>
    <row r="118" spans="1:11" s="59" customFormat="1" ht="43.5" customHeight="1">
      <c r="A118" s="179" t="s">
        <v>592</v>
      </c>
      <c r="B118" s="258" t="s">
        <v>595</v>
      </c>
      <c r="C118" s="433" t="s">
        <v>596</v>
      </c>
      <c r="D118" s="184" t="s">
        <v>25</v>
      </c>
      <c r="E118" s="256">
        <f>'MEMÓRIA DE CÁLCULO'!F1098</f>
        <v>9</v>
      </c>
      <c r="F118" s="257">
        <v>556.89</v>
      </c>
      <c r="G118" s="256">
        <v>682.02</v>
      </c>
      <c r="H118" s="182">
        <f t="shared" si="15"/>
        <v>6138.18</v>
      </c>
      <c r="K118" s="141">
        <f t="shared" si="14"/>
        <v>682.02</v>
      </c>
    </row>
    <row r="119" spans="1:11" s="59" customFormat="1" ht="34.5" customHeight="1">
      <c r="A119" s="179" t="s">
        <v>593</v>
      </c>
      <c r="B119" s="258" t="s">
        <v>625</v>
      </c>
      <c r="C119" s="470" t="s">
        <v>602</v>
      </c>
      <c r="D119" s="184" t="s">
        <v>107</v>
      </c>
      <c r="E119" s="256">
        <f>'MEMÓRIA DE CÁLCULO'!F1106</f>
        <v>4.45</v>
      </c>
      <c r="F119" s="257">
        <v>62.48</v>
      </c>
      <c r="G119" s="256">
        <v>76.52</v>
      </c>
      <c r="H119" s="182">
        <f t="shared" si="15"/>
        <v>340.51</v>
      </c>
      <c r="K119" s="141">
        <f t="shared" si="14"/>
        <v>76.52</v>
      </c>
    </row>
    <row r="120" spans="1:256" s="59" customFormat="1" ht="40.5">
      <c r="A120" s="179" t="s">
        <v>600</v>
      </c>
      <c r="B120" s="306" t="s">
        <v>456</v>
      </c>
      <c r="C120" s="259" t="s">
        <v>517</v>
      </c>
      <c r="D120" s="340" t="s">
        <v>107</v>
      </c>
      <c r="E120" s="181">
        <f>'MEMÓRIA DE CÁLCULO'!F1115</f>
        <v>47.59</v>
      </c>
      <c r="F120" s="181">
        <v>51.52</v>
      </c>
      <c r="G120" s="181">
        <v>63.1</v>
      </c>
      <c r="H120" s="316">
        <f t="shared" si="15"/>
        <v>3002.93</v>
      </c>
      <c r="I120" s="456"/>
      <c r="J120" s="312"/>
      <c r="K120" s="141">
        <f t="shared" si="14"/>
        <v>63.1</v>
      </c>
      <c r="L120" s="313"/>
      <c r="M120" s="314"/>
      <c r="N120" s="314"/>
      <c r="O120" s="314"/>
      <c r="P120" s="314"/>
      <c r="Q120" s="456"/>
      <c r="R120" s="312"/>
      <c r="S120" s="457"/>
      <c r="T120" s="313"/>
      <c r="U120" s="314"/>
      <c r="V120" s="314"/>
      <c r="W120" s="314"/>
      <c r="X120" s="314"/>
      <c r="Y120" s="456"/>
      <c r="Z120" s="312"/>
      <c r="AA120" s="457"/>
      <c r="AB120" s="313"/>
      <c r="AC120" s="314"/>
      <c r="AD120" s="314"/>
      <c r="AE120" s="314"/>
      <c r="AF120" s="314"/>
      <c r="AG120" s="456"/>
      <c r="AH120" s="312"/>
      <c r="AI120" s="457"/>
      <c r="AJ120" s="313"/>
      <c r="AK120" s="314"/>
      <c r="AL120" s="314"/>
      <c r="AM120" s="314"/>
      <c r="AN120" s="314"/>
      <c r="AO120" s="456"/>
      <c r="AP120" s="312"/>
      <c r="AQ120" s="457"/>
      <c r="AR120" s="313"/>
      <c r="AS120" s="314"/>
      <c r="AT120" s="314"/>
      <c r="AU120" s="314"/>
      <c r="AV120" s="314"/>
      <c r="AW120" s="456"/>
      <c r="AX120" s="312"/>
      <c r="AY120" s="457"/>
      <c r="AZ120" s="313"/>
      <c r="BA120" s="314"/>
      <c r="BB120" s="314"/>
      <c r="BC120" s="314"/>
      <c r="BD120" s="314"/>
      <c r="BE120" s="456"/>
      <c r="BF120" s="312"/>
      <c r="BG120" s="457"/>
      <c r="BH120" s="313"/>
      <c r="BI120" s="314"/>
      <c r="BJ120" s="314"/>
      <c r="BK120" s="314"/>
      <c r="BL120" s="314"/>
      <c r="BM120" s="456"/>
      <c r="BN120" s="312"/>
      <c r="BO120" s="457"/>
      <c r="BP120" s="313"/>
      <c r="BQ120" s="314"/>
      <c r="BR120" s="314"/>
      <c r="BS120" s="314"/>
      <c r="BT120" s="314"/>
      <c r="BU120" s="456"/>
      <c r="BV120" s="312"/>
      <c r="BW120" s="457"/>
      <c r="BX120" s="313"/>
      <c r="BY120" s="314"/>
      <c r="BZ120" s="314"/>
      <c r="CA120" s="314"/>
      <c r="CB120" s="314"/>
      <c r="CC120" s="456"/>
      <c r="CD120" s="312"/>
      <c r="CE120" s="457"/>
      <c r="CF120" s="313"/>
      <c r="CG120" s="314"/>
      <c r="CH120" s="314"/>
      <c r="CI120" s="314"/>
      <c r="CJ120" s="314"/>
      <c r="CK120" s="456"/>
      <c r="CL120" s="312"/>
      <c r="CM120" s="457"/>
      <c r="CN120" s="313"/>
      <c r="CO120" s="314"/>
      <c r="CP120" s="314"/>
      <c r="CQ120" s="314"/>
      <c r="CR120" s="314"/>
      <c r="CS120" s="456"/>
      <c r="CT120" s="312"/>
      <c r="CU120" s="457"/>
      <c r="CV120" s="313"/>
      <c r="CW120" s="314"/>
      <c r="CX120" s="314"/>
      <c r="CY120" s="314"/>
      <c r="CZ120" s="314"/>
      <c r="DA120" s="456"/>
      <c r="DB120" s="312"/>
      <c r="DC120" s="457"/>
      <c r="DD120" s="313"/>
      <c r="DE120" s="314"/>
      <c r="DF120" s="314"/>
      <c r="DG120" s="314"/>
      <c r="DH120" s="314"/>
      <c r="DI120" s="456"/>
      <c r="DJ120" s="312"/>
      <c r="DK120" s="457"/>
      <c r="DL120" s="313"/>
      <c r="DM120" s="314"/>
      <c r="DN120" s="314"/>
      <c r="DO120" s="314"/>
      <c r="DP120" s="314"/>
      <c r="DQ120" s="456"/>
      <c r="DR120" s="312"/>
      <c r="DS120" s="457"/>
      <c r="DT120" s="313"/>
      <c r="DU120" s="314"/>
      <c r="DV120" s="314"/>
      <c r="DW120" s="314"/>
      <c r="DX120" s="314"/>
      <c r="DY120" s="456"/>
      <c r="DZ120" s="312"/>
      <c r="EA120" s="457"/>
      <c r="EB120" s="313"/>
      <c r="EC120" s="314"/>
      <c r="ED120" s="314"/>
      <c r="EE120" s="314"/>
      <c r="EF120" s="314"/>
      <c r="EG120" s="456"/>
      <c r="EH120" s="312"/>
      <c r="EI120" s="457"/>
      <c r="EJ120" s="313"/>
      <c r="EK120" s="314"/>
      <c r="EL120" s="314"/>
      <c r="EM120" s="314"/>
      <c r="EN120" s="314"/>
      <c r="EO120" s="456"/>
      <c r="EP120" s="312"/>
      <c r="EQ120" s="457"/>
      <c r="ER120" s="313"/>
      <c r="ES120" s="314"/>
      <c r="ET120" s="314"/>
      <c r="EU120" s="314"/>
      <c r="EV120" s="314"/>
      <c r="EW120" s="456"/>
      <c r="EX120" s="312"/>
      <c r="EY120" s="457"/>
      <c r="EZ120" s="313"/>
      <c r="FA120" s="314"/>
      <c r="FB120" s="314"/>
      <c r="FC120" s="314"/>
      <c r="FD120" s="314"/>
      <c r="FE120" s="456"/>
      <c r="FF120" s="312"/>
      <c r="FG120" s="457"/>
      <c r="FH120" s="313"/>
      <c r="FI120" s="314"/>
      <c r="FJ120" s="314"/>
      <c r="FK120" s="314"/>
      <c r="FL120" s="314"/>
      <c r="FM120" s="456"/>
      <c r="FN120" s="312"/>
      <c r="FO120" s="457"/>
      <c r="FP120" s="313"/>
      <c r="FQ120" s="314"/>
      <c r="FR120" s="314"/>
      <c r="FS120" s="314"/>
      <c r="FT120" s="314"/>
      <c r="FU120" s="456"/>
      <c r="FV120" s="312"/>
      <c r="FW120" s="457"/>
      <c r="FX120" s="313"/>
      <c r="FY120" s="314"/>
      <c r="FZ120" s="314"/>
      <c r="GA120" s="314"/>
      <c r="GB120" s="314"/>
      <c r="GC120" s="456"/>
      <c r="GD120" s="312"/>
      <c r="GE120" s="457"/>
      <c r="GF120" s="313"/>
      <c r="GG120" s="314"/>
      <c r="GH120" s="314"/>
      <c r="GI120" s="314"/>
      <c r="GJ120" s="314"/>
      <c r="GK120" s="456"/>
      <c r="GL120" s="312"/>
      <c r="GM120" s="457"/>
      <c r="GN120" s="313"/>
      <c r="GO120" s="314"/>
      <c r="GP120" s="314"/>
      <c r="GQ120" s="314"/>
      <c r="GR120" s="314"/>
      <c r="GS120" s="456"/>
      <c r="GT120" s="312"/>
      <c r="GU120" s="457"/>
      <c r="GV120" s="313"/>
      <c r="GW120" s="314"/>
      <c r="GX120" s="314"/>
      <c r="GY120" s="314"/>
      <c r="GZ120" s="314"/>
      <c r="HA120" s="456"/>
      <c r="HB120" s="312"/>
      <c r="HC120" s="457"/>
      <c r="HD120" s="313"/>
      <c r="HE120" s="314"/>
      <c r="HF120" s="314"/>
      <c r="HG120" s="314"/>
      <c r="HH120" s="314"/>
      <c r="HI120" s="456"/>
      <c r="HJ120" s="312"/>
      <c r="HK120" s="457"/>
      <c r="HL120" s="313"/>
      <c r="HM120" s="314"/>
      <c r="HN120" s="314"/>
      <c r="HO120" s="314"/>
      <c r="HP120" s="314"/>
      <c r="HQ120" s="456"/>
      <c r="HR120" s="312"/>
      <c r="HS120" s="457"/>
      <c r="HT120" s="313"/>
      <c r="HU120" s="314"/>
      <c r="HV120" s="314"/>
      <c r="HW120" s="314"/>
      <c r="HX120" s="314"/>
      <c r="HY120" s="456"/>
      <c r="HZ120" s="312"/>
      <c r="IA120" s="457"/>
      <c r="IB120" s="313"/>
      <c r="IC120" s="314"/>
      <c r="ID120" s="314"/>
      <c r="IE120" s="314"/>
      <c r="IF120" s="314"/>
      <c r="IG120" s="456"/>
      <c r="IH120" s="312"/>
      <c r="II120" s="457"/>
      <c r="IJ120" s="313"/>
      <c r="IK120" s="314"/>
      <c r="IL120" s="314"/>
      <c r="IM120" s="314"/>
      <c r="IN120" s="314"/>
      <c r="IO120" s="456"/>
      <c r="IP120" s="312"/>
      <c r="IQ120" s="457"/>
      <c r="IR120" s="313"/>
      <c r="IS120" s="314"/>
      <c r="IT120" s="314"/>
      <c r="IU120" s="314"/>
      <c r="IV120" s="314"/>
    </row>
    <row r="121" spans="1:11" s="59" customFormat="1" ht="20.25">
      <c r="A121" s="179" t="s">
        <v>603</v>
      </c>
      <c r="B121" s="258" t="s">
        <v>457</v>
      </c>
      <c r="C121" s="433" t="s">
        <v>588</v>
      </c>
      <c r="D121" s="184" t="s">
        <v>107</v>
      </c>
      <c r="E121" s="256">
        <f>'MEMÓRIA DE CÁLCULO'!F1124</f>
        <v>47.59</v>
      </c>
      <c r="F121" s="257">
        <v>33.97</v>
      </c>
      <c r="G121" s="256">
        <v>41.6</v>
      </c>
      <c r="H121" s="182">
        <f>E121*G121</f>
        <v>1979.74</v>
      </c>
      <c r="K121" s="141">
        <f>F121*1.2247</f>
        <v>41.6</v>
      </c>
    </row>
    <row r="122" spans="1:256" s="59" customFormat="1" ht="12.75">
      <c r="A122" s="179" t="s">
        <v>608</v>
      </c>
      <c r="B122" s="399" t="s">
        <v>419</v>
      </c>
      <c r="C122" s="259" t="s">
        <v>420</v>
      </c>
      <c r="D122" s="471" t="s">
        <v>108</v>
      </c>
      <c r="E122" s="314">
        <f>'MEMÓRIA DE CÁLCULO'!F1131</f>
        <v>6.08</v>
      </c>
      <c r="F122" s="256">
        <v>61.26</v>
      </c>
      <c r="G122" s="314">
        <v>75.03</v>
      </c>
      <c r="H122" s="316">
        <f t="shared" si="15"/>
        <v>456.18</v>
      </c>
      <c r="I122" s="456"/>
      <c r="J122" s="312"/>
      <c r="K122" s="141">
        <f t="shared" si="14"/>
        <v>75.03</v>
      </c>
      <c r="L122" s="313"/>
      <c r="M122" s="314"/>
      <c r="N122" s="314"/>
      <c r="O122" s="314"/>
      <c r="P122" s="314"/>
      <c r="Q122" s="456"/>
      <c r="R122" s="312"/>
      <c r="S122" s="457"/>
      <c r="T122" s="313"/>
      <c r="U122" s="314"/>
      <c r="V122" s="314"/>
      <c r="W122" s="314"/>
      <c r="X122" s="314"/>
      <c r="Y122" s="456"/>
      <c r="Z122" s="312"/>
      <c r="AA122" s="457"/>
      <c r="AB122" s="313"/>
      <c r="AC122" s="314"/>
      <c r="AD122" s="314"/>
      <c r="AE122" s="314"/>
      <c r="AF122" s="314"/>
      <c r="AG122" s="456"/>
      <c r="AH122" s="312"/>
      <c r="AI122" s="457"/>
      <c r="AJ122" s="313"/>
      <c r="AK122" s="314"/>
      <c r="AL122" s="314"/>
      <c r="AM122" s="314"/>
      <c r="AN122" s="314"/>
      <c r="AO122" s="456"/>
      <c r="AP122" s="312"/>
      <c r="AQ122" s="457"/>
      <c r="AR122" s="313"/>
      <c r="AS122" s="314"/>
      <c r="AT122" s="314"/>
      <c r="AU122" s="314"/>
      <c r="AV122" s="314"/>
      <c r="AW122" s="456"/>
      <c r="AX122" s="312"/>
      <c r="AY122" s="457"/>
      <c r="AZ122" s="313"/>
      <c r="BA122" s="314"/>
      <c r="BB122" s="314"/>
      <c r="BC122" s="314"/>
      <c r="BD122" s="314"/>
      <c r="BE122" s="456"/>
      <c r="BF122" s="312"/>
      <c r="BG122" s="457"/>
      <c r="BH122" s="313"/>
      <c r="BI122" s="314"/>
      <c r="BJ122" s="314"/>
      <c r="BK122" s="314"/>
      <c r="BL122" s="314"/>
      <c r="BM122" s="456"/>
      <c r="BN122" s="312"/>
      <c r="BO122" s="457"/>
      <c r="BP122" s="313"/>
      <c r="BQ122" s="314"/>
      <c r="BR122" s="314"/>
      <c r="BS122" s="314"/>
      <c r="BT122" s="314"/>
      <c r="BU122" s="456"/>
      <c r="BV122" s="312"/>
      <c r="BW122" s="457"/>
      <c r="BX122" s="313"/>
      <c r="BY122" s="314"/>
      <c r="BZ122" s="314"/>
      <c r="CA122" s="314"/>
      <c r="CB122" s="314"/>
      <c r="CC122" s="456"/>
      <c r="CD122" s="312"/>
      <c r="CE122" s="457"/>
      <c r="CF122" s="313"/>
      <c r="CG122" s="314"/>
      <c r="CH122" s="314"/>
      <c r="CI122" s="314"/>
      <c r="CJ122" s="314"/>
      <c r="CK122" s="456"/>
      <c r="CL122" s="312"/>
      <c r="CM122" s="457"/>
      <c r="CN122" s="313"/>
      <c r="CO122" s="314"/>
      <c r="CP122" s="314"/>
      <c r="CQ122" s="314"/>
      <c r="CR122" s="314"/>
      <c r="CS122" s="456"/>
      <c r="CT122" s="312"/>
      <c r="CU122" s="457"/>
      <c r="CV122" s="313"/>
      <c r="CW122" s="314"/>
      <c r="CX122" s="314"/>
      <c r="CY122" s="314"/>
      <c r="CZ122" s="314"/>
      <c r="DA122" s="456"/>
      <c r="DB122" s="312"/>
      <c r="DC122" s="457"/>
      <c r="DD122" s="313"/>
      <c r="DE122" s="314"/>
      <c r="DF122" s="314"/>
      <c r="DG122" s="314"/>
      <c r="DH122" s="314"/>
      <c r="DI122" s="456"/>
      <c r="DJ122" s="312"/>
      <c r="DK122" s="457"/>
      <c r="DL122" s="313"/>
      <c r="DM122" s="314"/>
      <c r="DN122" s="314"/>
      <c r="DO122" s="314"/>
      <c r="DP122" s="314"/>
      <c r="DQ122" s="456"/>
      <c r="DR122" s="312"/>
      <c r="DS122" s="457"/>
      <c r="DT122" s="313"/>
      <c r="DU122" s="314"/>
      <c r="DV122" s="314"/>
      <c r="DW122" s="314"/>
      <c r="DX122" s="314"/>
      <c r="DY122" s="456"/>
      <c r="DZ122" s="312"/>
      <c r="EA122" s="457"/>
      <c r="EB122" s="313"/>
      <c r="EC122" s="314"/>
      <c r="ED122" s="314"/>
      <c r="EE122" s="314"/>
      <c r="EF122" s="314"/>
      <c r="EG122" s="456"/>
      <c r="EH122" s="312"/>
      <c r="EI122" s="457"/>
      <c r="EJ122" s="313"/>
      <c r="EK122" s="314"/>
      <c r="EL122" s="314"/>
      <c r="EM122" s="314"/>
      <c r="EN122" s="314"/>
      <c r="EO122" s="456"/>
      <c r="EP122" s="312"/>
      <c r="EQ122" s="457"/>
      <c r="ER122" s="313"/>
      <c r="ES122" s="314"/>
      <c r="ET122" s="314"/>
      <c r="EU122" s="314"/>
      <c r="EV122" s="314"/>
      <c r="EW122" s="456"/>
      <c r="EX122" s="312"/>
      <c r="EY122" s="457"/>
      <c r="EZ122" s="313"/>
      <c r="FA122" s="314"/>
      <c r="FB122" s="314"/>
      <c r="FC122" s="314"/>
      <c r="FD122" s="314"/>
      <c r="FE122" s="456"/>
      <c r="FF122" s="312"/>
      <c r="FG122" s="457"/>
      <c r="FH122" s="313"/>
      <c r="FI122" s="314"/>
      <c r="FJ122" s="314"/>
      <c r="FK122" s="314"/>
      <c r="FL122" s="314"/>
      <c r="FM122" s="456"/>
      <c r="FN122" s="312"/>
      <c r="FO122" s="457"/>
      <c r="FP122" s="313"/>
      <c r="FQ122" s="314"/>
      <c r="FR122" s="314"/>
      <c r="FS122" s="314"/>
      <c r="FT122" s="314"/>
      <c r="FU122" s="456"/>
      <c r="FV122" s="312"/>
      <c r="FW122" s="457"/>
      <c r="FX122" s="313"/>
      <c r="FY122" s="314"/>
      <c r="FZ122" s="314"/>
      <c r="GA122" s="314"/>
      <c r="GB122" s="314"/>
      <c r="GC122" s="456"/>
      <c r="GD122" s="312"/>
      <c r="GE122" s="457"/>
      <c r="GF122" s="313"/>
      <c r="GG122" s="314"/>
      <c r="GH122" s="314"/>
      <c r="GI122" s="314"/>
      <c r="GJ122" s="314"/>
      <c r="GK122" s="456"/>
      <c r="GL122" s="312"/>
      <c r="GM122" s="457"/>
      <c r="GN122" s="313"/>
      <c r="GO122" s="314"/>
      <c r="GP122" s="314"/>
      <c r="GQ122" s="314"/>
      <c r="GR122" s="314"/>
      <c r="GS122" s="456"/>
      <c r="GT122" s="312"/>
      <c r="GU122" s="457"/>
      <c r="GV122" s="313"/>
      <c r="GW122" s="314"/>
      <c r="GX122" s="314"/>
      <c r="GY122" s="314"/>
      <c r="GZ122" s="314"/>
      <c r="HA122" s="456"/>
      <c r="HB122" s="312"/>
      <c r="HC122" s="457"/>
      <c r="HD122" s="313"/>
      <c r="HE122" s="314"/>
      <c r="HF122" s="314"/>
      <c r="HG122" s="314"/>
      <c r="HH122" s="314"/>
      <c r="HI122" s="456"/>
      <c r="HJ122" s="312"/>
      <c r="HK122" s="457"/>
      <c r="HL122" s="313"/>
      <c r="HM122" s="314"/>
      <c r="HN122" s="314"/>
      <c r="HO122" s="314"/>
      <c r="HP122" s="314"/>
      <c r="HQ122" s="456"/>
      <c r="HR122" s="312"/>
      <c r="HS122" s="457"/>
      <c r="HT122" s="313"/>
      <c r="HU122" s="314"/>
      <c r="HV122" s="314"/>
      <c r="HW122" s="314"/>
      <c r="HX122" s="314"/>
      <c r="HY122" s="456"/>
      <c r="HZ122" s="312"/>
      <c r="IA122" s="457"/>
      <c r="IB122" s="313"/>
      <c r="IC122" s="314"/>
      <c r="ID122" s="314"/>
      <c r="IE122" s="314"/>
      <c r="IF122" s="314"/>
      <c r="IG122" s="456"/>
      <c r="IH122" s="312"/>
      <c r="II122" s="457"/>
      <c r="IJ122" s="313"/>
      <c r="IK122" s="314"/>
      <c r="IL122" s="314"/>
      <c r="IM122" s="314"/>
      <c r="IN122" s="314"/>
      <c r="IO122" s="456"/>
      <c r="IP122" s="312"/>
      <c r="IQ122" s="457"/>
      <c r="IR122" s="313"/>
      <c r="IS122" s="314"/>
      <c r="IT122" s="314"/>
      <c r="IU122" s="314"/>
      <c r="IV122" s="314"/>
    </row>
    <row r="123" spans="1:14" ht="15.75" customHeight="1" thickBot="1">
      <c r="A123" s="636" t="s">
        <v>137</v>
      </c>
      <c r="B123" s="637"/>
      <c r="C123" s="637"/>
      <c r="D123" s="637"/>
      <c r="E123" s="637"/>
      <c r="F123" s="637"/>
      <c r="G123" s="638"/>
      <c r="H123" s="460">
        <f>SUM(H11,H14,H32,H18,H43,H49,H56,H64,H68,H76,H86,H94,H108+H112,H114)</f>
        <v>297673.63</v>
      </c>
      <c r="J123" s="148">
        <v>114842.08</v>
      </c>
      <c r="K123" s="141">
        <f>F123*1.2247</f>
        <v>0</v>
      </c>
      <c r="N123" s="59" t="s">
        <v>539</v>
      </c>
    </row>
    <row r="124" spans="1:11" ht="14.25" customHeight="1" thickBot="1">
      <c r="A124" s="639"/>
      <c r="B124" s="640"/>
      <c r="C124" s="640"/>
      <c r="D124" s="640"/>
      <c r="E124" s="640"/>
      <c r="F124" s="640"/>
      <c r="G124" s="641"/>
      <c r="H124" s="149"/>
      <c r="J124" s="148">
        <f>J123-H123</f>
        <v>-182831.55</v>
      </c>
      <c r="K124" s="95">
        <f>F124*1.2247</f>
        <v>0</v>
      </c>
    </row>
    <row r="125" spans="1:11" ht="11.25" customHeight="1">
      <c r="A125" s="116"/>
      <c r="B125" s="117"/>
      <c r="C125" s="117"/>
      <c r="D125" s="117"/>
      <c r="E125" s="117"/>
      <c r="F125" s="117"/>
      <c r="G125" s="117"/>
      <c r="H125" s="484"/>
      <c r="K125" s="95">
        <f>F125*1.2247</f>
        <v>0</v>
      </c>
    </row>
    <row r="126" spans="1:11" ht="11.25" customHeight="1">
      <c r="A126" s="116"/>
      <c r="B126" s="117"/>
      <c r="C126" s="117"/>
      <c r="D126" s="117"/>
      <c r="E126" s="117"/>
      <c r="F126" s="117"/>
      <c r="G126" s="117"/>
      <c r="H126" s="484"/>
      <c r="K126" s="95"/>
    </row>
    <row r="127" spans="1:11" ht="11.25" customHeight="1">
      <c r="A127" s="116"/>
      <c r="B127" s="117"/>
      <c r="C127" s="117"/>
      <c r="D127" s="117"/>
      <c r="E127" s="117"/>
      <c r="F127" s="117"/>
      <c r="G127" s="117"/>
      <c r="H127" s="484"/>
      <c r="K127" s="95"/>
    </row>
    <row r="128" spans="1:11" ht="11.25" customHeight="1">
      <c r="A128" s="116"/>
      <c r="B128" s="117"/>
      <c r="C128" s="117"/>
      <c r="D128" s="117"/>
      <c r="E128" s="117"/>
      <c r="F128" s="117"/>
      <c r="G128" s="117"/>
      <c r="H128" s="484"/>
      <c r="K128" s="95">
        <f aca="true" t="shared" si="16" ref="K128:K135">F128*1.2247</f>
        <v>0</v>
      </c>
    </row>
    <row r="129" spans="1:11" ht="11.25" customHeight="1">
      <c r="A129" s="116"/>
      <c r="B129" s="592"/>
      <c r="C129" s="592"/>
      <c r="D129" s="117"/>
      <c r="E129" s="592" t="s">
        <v>199</v>
      </c>
      <c r="F129" s="592"/>
      <c r="G129" s="452"/>
      <c r="H129" s="484"/>
      <c r="K129" s="95">
        <f t="shared" si="16"/>
        <v>0</v>
      </c>
    </row>
    <row r="130" spans="1:11" ht="12.75">
      <c r="A130" s="485"/>
      <c r="B130" s="642" t="s">
        <v>198</v>
      </c>
      <c r="C130" s="642"/>
      <c r="D130" s="150"/>
      <c r="E130" s="643" t="s">
        <v>87</v>
      </c>
      <c r="F130" s="643"/>
      <c r="G130" s="455"/>
      <c r="H130" s="486"/>
      <c r="K130" s="95">
        <f t="shared" si="16"/>
        <v>0</v>
      </c>
    </row>
    <row r="131" spans="1:11" ht="12.75">
      <c r="A131" s="118"/>
      <c r="B131" s="119"/>
      <c r="C131" s="117"/>
      <c r="D131" s="119"/>
      <c r="E131" s="119"/>
      <c r="F131" s="119"/>
      <c r="G131" s="119"/>
      <c r="H131" s="100"/>
      <c r="K131" s="95">
        <f t="shared" si="16"/>
        <v>0</v>
      </c>
    </row>
    <row r="132" spans="1:11" ht="12.75">
      <c r="A132" s="118"/>
      <c r="B132" s="119"/>
      <c r="C132" s="117"/>
      <c r="D132" s="119"/>
      <c r="E132" s="119"/>
      <c r="F132" s="119"/>
      <c r="G132" s="119"/>
      <c r="H132" s="100"/>
      <c r="K132" s="95">
        <f t="shared" si="16"/>
        <v>0</v>
      </c>
    </row>
    <row r="133" spans="1:11" ht="11.25" customHeight="1">
      <c r="A133" s="116"/>
      <c r="B133" s="592"/>
      <c r="C133" s="592"/>
      <c r="D133" s="117"/>
      <c r="E133" s="589"/>
      <c r="F133" s="589"/>
      <c r="G133" s="452"/>
      <c r="H133" s="484"/>
      <c r="K133" s="95">
        <f t="shared" si="16"/>
        <v>0</v>
      </c>
    </row>
    <row r="134" spans="1:11" ht="13.5" thickBot="1">
      <c r="A134" s="487"/>
      <c r="B134" s="631" t="s">
        <v>88</v>
      </c>
      <c r="C134" s="631"/>
      <c r="D134" s="488"/>
      <c r="E134" s="632"/>
      <c r="F134" s="632"/>
      <c r="G134" s="489"/>
      <c r="H134" s="490"/>
      <c r="K134" s="95">
        <f t="shared" si="16"/>
        <v>0</v>
      </c>
    </row>
    <row r="135" ht="12" customHeight="1">
      <c r="K135" s="95">
        <f t="shared" si="16"/>
        <v>0</v>
      </c>
    </row>
    <row r="136" ht="11.25" customHeight="1">
      <c r="L136" s="461"/>
    </row>
    <row r="137" ht="12" customHeight="1"/>
    <row r="138" ht="13.5" customHeight="1"/>
    <row r="139" ht="4.5" customHeight="1"/>
  </sheetData>
  <sheetProtection/>
  <mergeCells count="23">
    <mergeCell ref="B133:C133"/>
    <mergeCell ref="E133:F133"/>
    <mergeCell ref="B134:C134"/>
    <mergeCell ref="E134:F134"/>
    <mergeCell ref="A9:H9"/>
    <mergeCell ref="A123:G123"/>
    <mergeCell ref="A124:G124"/>
    <mergeCell ref="B129:C129"/>
    <mergeCell ref="E129:F129"/>
    <mergeCell ref="B130:C130"/>
    <mergeCell ref="E130:F130"/>
    <mergeCell ref="A6:D6"/>
    <mergeCell ref="E6:H6"/>
    <mergeCell ref="A7:D7"/>
    <mergeCell ref="E7:E8"/>
    <mergeCell ref="F7:F8"/>
    <mergeCell ref="A8:D8"/>
    <mergeCell ref="A1:B1"/>
    <mergeCell ref="C1:H1"/>
    <mergeCell ref="A2:H2"/>
    <mergeCell ref="A3:H3"/>
    <mergeCell ref="A5:D5"/>
    <mergeCell ref="E5:H5"/>
  </mergeCells>
  <printOptions horizontalCentered="1"/>
  <pageMargins left="0.3937007874015748" right="0.3937007874015748" top="0.3937007874015748" bottom="0.3937007874015748" header="0" footer="0"/>
  <pageSetup horizontalDpi="360" verticalDpi="360" orientation="portrait" paperSize="9" scale="73" r:id="rId2"/>
  <headerFooter alignWithMargins="0">
    <oddHeader>&amp;R
 &amp;P de &amp;N</oddHeader>
  </headerFooter>
  <rowBreaks count="1" manualBreakCount="1">
    <brk id="93" max="7" man="1"/>
  </rowBreaks>
  <drawing r:id="rId1"/>
</worksheet>
</file>

<file path=xl/worksheets/sheet3.xml><?xml version="1.0" encoding="utf-8"?>
<worksheet xmlns="http://schemas.openxmlformats.org/spreadsheetml/2006/main" xmlns:r="http://schemas.openxmlformats.org/officeDocument/2006/relationships">
  <sheetPr>
    <tabColor rgb="FF00B0F0"/>
  </sheetPr>
  <dimension ref="A1:L34"/>
  <sheetViews>
    <sheetView view="pageBreakPreview" zoomScale="115" zoomScaleSheetLayoutView="115" zoomScalePageLayoutView="0" workbookViewId="0" topLeftCell="A1">
      <selection activeCell="G23" sqref="G23"/>
    </sheetView>
  </sheetViews>
  <sheetFormatPr defaultColWidth="9.140625" defaultRowHeight="12.75"/>
  <cols>
    <col min="1" max="1" width="18.8515625" style="153" bestFit="1" customWidth="1"/>
    <col min="2" max="2" width="15.7109375" style="153" customWidth="1"/>
    <col min="3" max="3" width="13.57421875" style="153" customWidth="1"/>
    <col min="4" max="4" width="9.28125" style="153" customWidth="1"/>
    <col min="5" max="5" width="7.57421875" style="153" customWidth="1"/>
    <col min="6" max="6" width="12.8515625" style="153" customWidth="1"/>
    <col min="7" max="7" width="12.7109375" style="153" customWidth="1"/>
    <col min="8" max="8" width="13.421875" style="153" bestFit="1" customWidth="1"/>
    <col min="9" max="9" width="10.421875" style="153" bestFit="1" customWidth="1"/>
    <col min="10" max="10" width="12.8515625" style="153" bestFit="1" customWidth="1"/>
    <col min="11" max="11" width="12.7109375" style="153" bestFit="1" customWidth="1"/>
    <col min="12" max="12" width="12.7109375" style="153" customWidth="1"/>
    <col min="13" max="16384" width="9.140625" style="153" customWidth="1"/>
  </cols>
  <sheetData>
    <row r="1" spans="1:12" ht="12.75">
      <c r="A1" s="644" t="s">
        <v>138</v>
      </c>
      <c r="B1" s="644"/>
      <c r="C1" s="644"/>
      <c r="D1" s="644"/>
      <c r="E1" s="644"/>
      <c r="F1" s="152"/>
      <c r="G1" s="152"/>
      <c r="H1" s="152"/>
      <c r="I1" s="152"/>
      <c r="J1" s="152"/>
      <c r="K1" s="152"/>
      <c r="L1" s="152"/>
    </row>
    <row r="2" spans="1:12" ht="29.25" customHeight="1">
      <c r="A2" s="644" t="s">
        <v>139</v>
      </c>
      <c r="B2" s="644"/>
      <c r="C2" s="644"/>
      <c r="D2" s="644"/>
      <c r="E2" s="644"/>
      <c r="F2" s="152"/>
      <c r="G2" s="152"/>
      <c r="H2" s="152"/>
      <c r="I2" s="152"/>
      <c r="J2" s="152"/>
      <c r="K2" s="152"/>
      <c r="L2" s="152"/>
    </row>
    <row r="3" spans="1:12" ht="12.75">
      <c r="A3" s="644" t="s">
        <v>140</v>
      </c>
      <c r="B3" s="644"/>
      <c r="C3" s="154" t="s">
        <v>141</v>
      </c>
      <c r="D3" s="645" t="s">
        <v>142</v>
      </c>
      <c r="E3" s="645"/>
      <c r="F3" s="152"/>
      <c r="G3" s="152"/>
      <c r="H3" s="152"/>
      <c r="I3" s="152"/>
      <c r="J3" s="152"/>
      <c r="K3" s="152"/>
      <c r="L3" s="152"/>
    </row>
    <row r="4" spans="1:12" ht="12.75">
      <c r="A4" s="646" t="s">
        <v>143</v>
      </c>
      <c r="B4" s="646"/>
      <c r="C4" s="155" t="s">
        <v>144</v>
      </c>
      <c r="D4" s="647">
        <v>0.03</v>
      </c>
      <c r="E4" s="647"/>
      <c r="F4" s="152"/>
      <c r="G4" s="152"/>
      <c r="H4" s="152"/>
      <c r="I4" s="152"/>
      <c r="J4" s="152"/>
      <c r="K4" s="152"/>
      <c r="L4" s="152"/>
    </row>
    <row r="5" spans="1:12" ht="12.75">
      <c r="A5" s="646" t="s">
        <v>145</v>
      </c>
      <c r="B5" s="646"/>
      <c r="C5" s="155" t="s">
        <v>146</v>
      </c>
      <c r="D5" s="647">
        <v>0.0616</v>
      </c>
      <c r="E5" s="647"/>
      <c r="F5" s="152"/>
      <c r="G5" s="152"/>
      <c r="H5" s="152"/>
      <c r="I5" s="152"/>
      <c r="J5" s="152"/>
      <c r="K5" s="152"/>
      <c r="L5" s="152"/>
    </row>
    <row r="6" spans="1:12" ht="12.75">
      <c r="A6" s="646" t="s">
        <v>147</v>
      </c>
      <c r="B6" s="646"/>
      <c r="C6" s="155" t="s">
        <v>148</v>
      </c>
      <c r="D6" s="647">
        <v>0.0059</v>
      </c>
      <c r="E6" s="647"/>
      <c r="F6" s="152"/>
      <c r="G6" s="152"/>
      <c r="H6" s="152"/>
      <c r="I6" s="152"/>
      <c r="J6" s="152"/>
      <c r="K6" s="152"/>
      <c r="L6" s="152"/>
    </row>
    <row r="7" spans="1:12" ht="12.75">
      <c r="A7" s="646" t="s">
        <v>149</v>
      </c>
      <c r="B7" s="646"/>
      <c r="C7" s="155" t="s">
        <v>150</v>
      </c>
      <c r="D7" s="647">
        <v>0.008</v>
      </c>
      <c r="E7" s="647"/>
      <c r="F7" s="152"/>
      <c r="G7" s="152"/>
      <c r="H7" s="152"/>
      <c r="I7" s="152"/>
      <c r="J7" s="152"/>
      <c r="K7" s="152"/>
      <c r="L7" s="152"/>
    </row>
    <row r="8" spans="1:12" ht="12.75">
      <c r="A8" s="646" t="s">
        <v>151</v>
      </c>
      <c r="B8" s="646"/>
      <c r="C8" s="155" t="s">
        <v>152</v>
      </c>
      <c r="D8" s="647">
        <v>0</v>
      </c>
      <c r="E8" s="647"/>
      <c r="F8" s="152"/>
      <c r="G8" s="152"/>
      <c r="H8" s="152"/>
      <c r="I8" s="152"/>
      <c r="J8" s="152"/>
      <c r="K8" s="152"/>
      <c r="L8" s="152"/>
    </row>
    <row r="9" spans="1:12" ht="12.75">
      <c r="A9" s="646" t="s">
        <v>153</v>
      </c>
      <c r="B9" s="646"/>
      <c r="C9" s="155" t="s">
        <v>154</v>
      </c>
      <c r="D9" s="647">
        <v>0.0097</v>
      </c>
      <c r="E9" s="647"/>
      <c r="F9" s="152"/>
      <c r="G9" s="152"/>
      <c r="H9" s="152"/>
      <c r="I9" s="152"/>
      <c r="J9" s="152"/>
      <c r="K9" s="152"/>
      <c r="L9" s="152"/>
    </row>
    <row r="10" spans="1:12" ht="12.75">
      <c r="A10" s="646" t="s">
        <v>155</v>
      </c>
      <c r="B10" s="646"/>
      <c r="C10" s="155" t="s">
        <v>156</v>
      </c>
      <c r="D10" s="647">
        <v>0.0865</v>
      </c>
      <c r="E10" s="647"/>
      <c r="F10" s="152"/>
      <c r="G10" s="152"/>
      <c r="H10" s="152"/>
      <c r="I10" s="152"/>
      <c r="J10" s="152"/>
      <c r="K10" s="152"/>
      <c r="L10" s="152"/>
    </row>
    <row r="11" spans="1:12" ht="12.75">
      <c r="A11" s="646" t="s">
        <v>157</v>
      </c>
      <c r="B11" s="646"/>
      <c r="C11" s="155" t="s">
        <v>157</v>
      </c>
      <c r="D11" s="647">
        <v>0.05</v>
      </c>
      <c r="E11" s="647"/>
      <c r="F11" s="152"/>
      <c r="G11" s="152"/>
      <c r="H11" s="152"/>
      <c r="I11" s="152"/>
      <c r="J11" s="152"/>
      <c r="K11" s="152"/>
      <c r="L11" s="152"/>
    </row>
    <row r="12" spans="1:12" ht="12.75">
      <c r="A12" s="646" t="s">
        <v>158</v>
      </c>
      <c r="B12" s="646"/>
      <c r="C12" s="155" t="s">
        <v>158</v>
      </c>
      <c r="D12" s="647">
        <v>0.0065</v>
      </c>
      <c r="E12" s="647"/>
      <c r="F12" s="152"/>
      <c r="G12" s="152"/>
      <c r="H12" s="152"/>
      <c r="I12" s="152"/>
      <c r="J12" s="152"/>
      <c r="K12" s="152"/>
      <c r="L12" s="152"/>
    </row>
    <row r="13" spans="1:12" ht="12.75">
      <c r="A13" s="646" t="s">
        <v>159</v>
      </c>
      <c r="B13" s="646"/>
      <c r="C13" s="156" t="s">
        <v>159</v>
      </c>
      <c r="D13" s="648">
        <v>0.03</v>
      </c>
      <c r="E13" s="648"/>
      <c r="F13" s="152"/>
      <c r="G13" s="152"/>
      <c r="H13" s="152"/>
      <c r="I13" s="152"/>
      <c r="J13" s="152"/>
      <c r="K13" s="152"/>
      <c r="L13" s="152"/>
    </row>
    <row r="14" spans="1:12" ht="12.75">
      <c r="A14" s="649" t="s">
        <v>160</v>
      </c>
      <c r="B14" s="650" t="s">
        <v>161</v>
      </c>
      <c r="C14" s="650"/>
      <c r="D14" s="651"/>
      <c r="E14" s="652">
        <v>-1</v>
      </c>
      <c r="F14" s="152"/>
      <c r="G14" s="152"/>
      <c r="H14" s="152"/>
      <c r="I14" s="152"/>
      <c r="J14" s="152"/>
      <c r="K14" s="152"/>
      <c r="L14" s="152"/>
    </row>
    <row r="15" spans="1:12" ht="15" customHeight="1">
      <c r="A15" s="649"/>
      <c r="B15" s="653" t="s">
        <v>162</v>
      </c>
      <c r="C15" s="653"/>
      <c r="D15" s="654"/>
      <c r="E15" s="652"/>
      <c r="F15" s="152"/>
      <c r="G15" s="152"/>
      <c r="H15" s="152"/>
      <c r="I15" s="152"/>
      <c r="J15" s="152"/>
      <c r="K15" s="152"/>
      <c r="L15" s="152"/>
    </row>
    <row r="16" spans="1:12" ht="15" customHeight="1">
      <c r="A16" s="646" t="s">
        <v>163</v>
      </c>
      <c r="B16" s="646"/>
      <c r="C16" s="647">
        <f>((1+(D4+D7+D8+D9))*(1+D6)*(1+D5))</f>
        <v>1.1188</v>
      </c>
      <c r="D16" s="647"/>
      <c r="E16" s="647"/>
      <c r="F16" s="152"/>
      <c r="G16" s="152"/>
      <c r="H16" s="152"/>
      <c r="I16" s="152"/>
      <c r="J16" s="152"/>
      <c r="K16" s="152"/>
      <c r="L16" s="152"/>
    </row>
    <row r="17" spans="1:12" ht="12.75">
      <c r="A17" s="646" t="s">
        <v>164</v>
      </c>
      <c r="B17" s="646"/>
      <c r="C17" s="647">
        <f>(1-(D10))</f>
        <v>0.9135</v>
      </c>
      <c r="D17" s="647"/>
      <c r="E17" s="647"/>
      <c r="F17" s="152"/>
      <c r="G17" s="152"/>
      <c r="H17" s="152"/>
      <c r="I17" s="152"/>
      <c r="J17" s="152"/>
      <c r="K17" s="152"/>
      <c r="L17" s="152"/>
    </row>
    <row r="18" spans="1:12" ht="12.75">
      <c r="A18" s="649" t="s">
        <v>165</v>
      </c>
      <c r="B18" s="649"/>
      <c r="C18" s="657">
        <f>(C16/C17)-1</f>
        <v>0.2247</v>
      </c>
      <c r="D18" s="657"/>
      <c r="E18" s="657"/>
      <c r="F18" s="152"/>
      <c r="G18" s="152"/>
      <c r="H18" s="152"/>
      <c r="I18" s="152"/>
      <c r="J18" s="152"/>
      <c r="K18" s="152"/>
      <c r="L18" s="152"/>
    </row>
    <row r="19" spans="3:12" ht="12.75">
      <c r="C19" s="152"/>
      <c r="D19" s="152"/>
      <c r="E19" s="152"/>
      <c r="F19" s="152"/>
      <c r="G19" s="152"/>
      <c r="H19" s="152"/>
      <c r="I19" s="152"/>
      <c r="J19" s="152"/>
      <c r="K19" s="152"/>
      <c r="L19" s="152"/>
    </row>
    <row r="20" spans="3:12" ht="12.75">
      <c r="C20" s="152"/>
      <c r="D20" s="152"/>
      <c r="E20" s="152"/>
      <c r="F20" s="152"/>
      <c r="G20" s="152"/>
      <c r="H20" s="152"/>
      <c r="I20" s="152"/>
      <c r="J20" s="152"/>
      <c r="K20" s="152"/>
      <c r="L20" s="152"/>
    </row>
    <row r="21" spans="3:12" ht="12.75">
      <c r="C21" s="152"/>
      <c r="D21" s="152"/>
      <c r="E21" s="152"/>
      <c r="F21" s="152"/>
      <c r="G21" s="152"/>
      <c r="H21" s="152"/>
      <c r="I21" s="152"/>
      <c r="J21" s="152"/>
      <c r="K21" s="152"/>
      <c r="L21" s="152"/>
    </row>
    <row r="22" spans="1:12" ht="12.75">
      <c r="A22" s="658" t="s">
        <v>166</v>
      </c>
      <c r="B22" s="658"/>
      <c r="C22" s="658"/>
      <c r="D22" s="658"/>
      <c r="E22" s="157"/>
      <c r="F22" s="158"/>
      <c r="G22" s="158"/>
      <c r="H22" s="158"/>
      <c r="I22" s="158"/>
      <c r="J22" s="158"/>
      <c r="K22" s="158"/>
      <c r="L22" s="158"/>
    </row>
    <row r="23" spans="1:12" ht="12.75">
      <c r="A23" s="658" t="s">
        <v>613</v>
      </c>
      <c r="B23" s="658"/>
      <c r="C23" s="658"/>
      <c r="D23" s="658"/>
      <c r="E23" s="157"/>
      <c r="F23" s="158"/>
      <c r="G23" s="158"/>
      <c r="H23" s="158"/>
      <c r="I23" s="158"/>
      <c r="J23" s="158"/>
      <c r="K23" s="158"/>
      <c r="L23" s="158"/>
    </row>
    <row r="24" spans="1:12" ht="12.75">
      <c r="A24" s="655" t="s">
        <v>614</v>
      </c>
      <c r="B24" s="656"/>
      <c r="C24" s="656"/>
      <c r="D24" s="656"/>
      <c r="E24" s="157"/>
      <c r="F24" s="158"/>
      <c r="G24" s="158"/>
      <c r="H24" s="158"/>
      <c r="I24" s="158"/>
      <c r="J24" s="158"/>
      <c r="K24" s="158"/>
      <c r="L24" s="158"/>
    </row>
    <row r="25" spans="3:12" ht="12.75">
      <c r="C25" s="152"/>
      <c r="D25" s="152"/>
      <c r="E25" s="152"/>
      <c r="F25" s="152"/>
      <c r="G25" s="152"/>
      <c r="H25" s="152"/>
      <c r="I25" s="152"/>
      <c r="J25" s="152"/>
      <c r="K25" s="152"/>
      <c r="L25" s="152"/>
    </row>
    <row r="26" spans="3:12" ht="12.75">
      <c r="C26" s="152"/>
      <c r="D26" s="152"/>
      <c r="E26" s="152"/>
      <c r="F26" s="152"/>
      <c r="G26" s="152"/>
      <c r="H26" s="152"/>
      <c r="I26" s="152"/>
      <c r="J26" s="152"/>
      <c r="K26" s="152"/>
      <c r="L26" s="152"/>
    </row>
    <row r="27" spans="3:12" ht="12.75">
      <c r="C27" s="152"/>
      <c r="D27" s="152"/>
      <c r="E27" s="152"/>
      <c r="F27" s="152"/>
      <c r="G27" s="152"/>
      <c r="H27" s="152"/>
      <c r="I27" s="152"/>
      <c r="J27" s="152"/>
      <c r="K27" s="152"/>
      <c r="L27" s="152"/>
    </row>
    <row r="28" spans="3:12" ht="12.75">
      <c r="C28" s="152"/>
      <c r="D28" s="152"/>
      <c r="E28" s="152"/>
      <c r="F28" s="152"/>
      <c r="G28" s="152"/>
      <c r="H28" s="152"/>
      <c r="I28" s="152"/>
      <c r="J28" s="152"/>
      <c r="K28" s="152"/>
      <c r="L28" s="152"/>
    </row>
    <row r="29" spans="3:12" ht="12.75">
      <c r="C29" s="152"/>
      <c r="D29" s="152"/>
      <c r="E29" s="152"/>
      <c r="F29" s="152"/>
      <c r="G29" s="152"/>
      <c r="H29" s="152"/>
      <c r="I29" s="152"/>
      <c r="J29" s="152"/>
      <c r="K29" s="152"/>
      <c r="L29" s="152"/>
    </row>
    <row r="30" spans="3:12" ht="12.75">
      <c r="C30" s="152"/>
      <c r="D30" s="152"/>
      <c r="E30" s="152"/>
      <c r="F30" s="152"/>
      <c r="G30" s="152"/>
      <c r="H30" s="152"/>
      <c r="I30" s="152"/>
      <c r="J30" s="152"/>
      <c r="K30" s="152"/>
      <c r="L30" s="152"/>
    </row>
    <row r="31" spans="3:12" ht="12.75">
      <c r="C31" s="152"/>
      <c r="D31" s="152"/>
      <c r="E31" s="152"/>
      <c r="F31" s="152"/>
      <c r="G31" s="152"/>
      <c r="H31" s="152"/>
      <c r="I31" s="152"/>
      <c r="J31" s="152"/>
      <c r="K31" s="152"/>
      <c r="L31" s="152"/>
    </row>
    <row r="32" spans="3:12" ht="12.75">
      <c r="C32" s="152"/>
      <c r="D32" s="152"/>
      <c r="E32" s="152"/>
      <c r="F32" s="152"/>
      <c r="G32" s="152"/>
      <c r="H32" s="152"/>
      <c r="I32" s="152"/>
      <c r="J32" s="152"/>
      <c r="K32" s="152"/>
      <c r="L32" s="152"/>
    </row>
    <row r="33" spans="3:12" ht="12.75">
      <c r="C33" s="152"/>
      <c r="D33" s="152"/>
      <c r="E33" s="152"/>
      <c r="F33" s="152"/>
      <c r="G33" s="152"/>
      <c r="H33" s="152"/>
      <c r="I33" s="152"/>
      <c r="J33" s="152"/>
      <c r="K33" s="152"/>
      <c r="L33" s="152"/>
    </row>
    <row r="34" spans="3:12" ht="12.75">
      <c r="C34" s="152"/>
      <c r="D34" s="152"/>
      <c r="E34" s="152"/>
      <c r="F34" s="152"/>
      <c r="G34" s="152"/>
      <c r="H34" s="152"/>
      <c r="I34" s="152"/>
      <c r="J34" s="152"/>
      <c r="K34" s="152"/>
      <c r="L34" s="152"/>
    </row>
  </sheetData>
  <sheetProtection/>
  <mergeCells count="37">
    <mergeCell ref="A24:D24"/>
    <mergeCell ref="A17:B17"/>
    <mergeCell ref="C17:E17"/>
    <mergeCell ref="A18:B18"/>
    <mergeCell ref="C18:E18"/>
    <mergeCell ref="A22:D22"/>
    <mergeCell ref="A23:D23"/>
    <mergeCell ref="A14:A15"/>
    <mergeCell ref="B14:D14"/>
    <mergeCell ref="E14:E15"/>
    <mergeCell ref="B15:D15"/>
    <mergeCell ref="A16:B16"/>
    <mergeCell ref="C16:E16"/>
    <mergeCell ref="A11:B11"/>
    <mergeCell ref="D11:E11"/>
    <mergeCell ref="A12:B12"/>
    <mergeCell ref="D12:E12"/>
    <mergeCell ref="A13:B13"/>
    <mergeCell ref="D13:E13"/>
    <mergeCell ref="A8:B8"/>
    <mergeCell ref="D8:E8"/>
    <mergeCell ref="A9:B9"/>
    <mergeCell ref="D9:E9"/>
    <mergeCell ref="A10:B10"/>
    <mergeCell ref="D10:E10"/>
    <mergeCell ref="A5:B5"/>
    <mergeCell ref="D5:E5"/>
    <mergeCell ref="A6:B6"/>
    <mergeCell ref="D6:E6"/>
    <mergeCell ref="A7:B7"/>
    <mergeCell ref="D7:E7"/>
    <mergeCell ref="A1:E1"/>
    <mergeCell ref="A2:E2"/>
    <mergeCell ref="A3:B3"/>
    <mergeCell ref="D3:E3"/>
    <mergeCell ref="A4:B4"/>
    <mergeCell ref="D4:E4"/>
  </mergeCells>
  <printOptions horizontalCentered="1"/>
  <pageMargins left="0.7874015748031497" right="0.7874015748031497" top="0.984251968503937" bottom="0.984251968503937" header="0.5118110236220472" footer="0.5118110236220472"/>
  <pageSetup horizontalDpi="360" verticalDpi="360" orientation="portrait" r:id="rId1"/>
</worksheet>
</file>

<file path=xl/worksheets/sheet4.xml><?xml version="1.0" encoding="utf-8"?>
<worksheet xmlns="http://schemas.openxmlformats.org/spreadsheetml/2006/main" xmlns:r="http://schemas.openxmlformats.org/officeDocument/2006/relationships">
  <sheetPr>
    <tabColor rgb="FFFFC000"/>
  </sheetPr>
  <dimension ref="A1:M55"/>
  <sheetViews>
    <sheetView showGridLines="0" showZeros="0" view="pageBreakPreview" zoomScaleNormal="75" zoomScaleSheetLayoutView="100" zoomScalePageLayoutView="0" workbookViewId="0" topLeftCell="A14">
      <selection activeCell="A1" sqref="A1:J55"/>
    </sheetView>
  </sheetViews>
  <sheetFormatPr defaultColWidth="9.140625" defaultRowHeight="12.75"/>
  <cols>
    <col min="1" max="1" width="10.57421875" style="159" customWidth="1"/>
    <col min="2" max="2" width="51.00390625" style="159" customWidth="1"/>
    <col min="3" max="3" width="14.421875" style="174" customWidth="1"/>
    <col min="4" max="4" width="12.421875" style="174" bestFit="1" customWidth="1"/>
    <col min="5" max="5" width="12.28125" style="159" customWidth="1"/>
    <col min="6" max="6" width="11.421875" style="159" customWidth="1"/>
    <col min="7" max="7" width="12.57421875" style="159" customWidth="1"/>
    <col min="8" max="8" width="12.421875" style="159" customWidth="1"/>
    <col min="9" max="9" width="12.7109375" style="159" customWidth="1"/>
    <col min="10" max="10" width="14.421875" style="159" customWidth="1"/>
    <col min="11" max="11" width="14.140625" style="159" customWidth="1"/>
    <col min="12" max="12" width="11.00390625" style="159" bestFit="1" customWidth="1"/>
    <col min="13" max="252" width="9.140625" style="159" customWidth="1"/>
    <col min="253" max="253" width="10.57421875" style="159" customWidth="1"/>
    <col min="254" max="254" width="51.00390625" style="159" customWidth="1"/>
    <col min="255" max="255" width="14.421875" style="159" customWidth="1"/>
    <col min="256" max="16384" width="12.421875" style="159" bestFit="1" customWidth="1"/>
  </cols>
  <sheetData>
    <row r="1" spans="1:10" ht="69.75" customHeight="1">
      <c r="A1" s="660"/>
      <c r="B1" s="661"/>
      <c r="C1" s="661"/>
      <c r="D1" s="661"/>
      <c r="E1" s="661"/>
      <c r="F1" s="661"/>
      <c r="G1" s="661"/>
      <c r="H1" s="661"/>
      <c r="I1" s="661"/>
      <c r="J1" s="662"/>
    </row>
    <row r="2" spans="1:10" ht="18" customHeight="1">
      <c r="A2" s="663" t="s">
        <v>167</v>
      </c>
      <c r="B2" s="664"/>
      <c r="C2" s="664"/>
      <c r="D2" s="664"/>
      <c r="E2" s="665"/>
      <c r="F2" s="665"/>
      <c r="G2" s="665"/>
      <c r="H2" s="665"/>
      <c r="I2" s="665"/>
      <c r="J2" s="666"/>
    </row>
    <row r="3" spans="1:10" ht="15.75" customHeight="1">
      <c r="A3" s="667" t="s">
        <v>616</v>
      </c>
      <c r="B3" s="668"/>
      <c r="C3" s="669" t="s">
        <v>628</v>
      </c>
      <c r="D3" s="670"/>
      <c r="E3" s="671" t="s">
        <v>617</v>
      </c>
      <c r="F3" s="672"/>
      <c r="G3" s="672"/>
      <c r="H3" s="672"/>
      <c r="I3" s="675" t="s">
        <v>622</v>
      </c>
      <c r="J3" s="676"/>
    </row>
    <row r="4" spans="1:10" ht="10.5" customHeight="1">
      <c r="A4" s="667"/>
      <c r="B4" s="668"/>
      <c r="C4" s="669"/>
      <c r="D4" s="670"/>
      <c r="E4" s="673"/>
      <c r="F4" s="674"/>
      <c r="G4" s="674"/>
      <c r="H4" s="674"/>
      <c r="I4" s="677"/>
      <c r="J4" s="678"/>
    </row>
    <row r="5" spans="1:10" ht="28.5" customHeight="1">
      <c r="A5" s="160" t="s">
        <v>96</v>
      </c>
      <c r="B5" s="501" t="s">
        <v>168</v>
      </c>
      <c r="C5" s="500" t="s">
        <v>169</v>
      </c>
      <c r="D5" s="500" t="s">
        <v>170</v>
      </c>
      <c r="E5" s="161" t="s">
        <v>171</v>
      </c>
      <c r="F5" s="161" t="s">
        <v>172</v>
      </c>
      <c r="G5" s="161" t="s">
        <v>173</v>
      </c>
      <c r="H5" s="161" t="s">
        <v>174</v>
      </c>
      <c r="I5" s="161" t="s">
        <v>175</v>
      </c>
      <c r="J5" s="520" t="s">
        <v>176</v>
      </c>
    </row>
    <row r="6" spans="1:10" ht="14.25" customHeight="1" hidden="1">
      <c r="A6" s="659">
        <v>2</v>
      </c>
      <c r="B6" s="502" t="s">
        <v>179</v>
      </c>
      <c r="C6" s="162"/>
      <c r="D6" s="163"/>
      <c r="E6" s="163"/>
      <c r="F6" s="163"/>
      <c r="G6" s="163"/>
      <c r="H6" s="164"/>
      <c r="I6" s="163"/>
      <c r="J6" s="521"/>
    </row>
    <row r="7" spans="1:10" ht="14.25" customHeight="1" hidden="1">
      <c r="A7" s="659"/>
      <c r="B7" s="502" t="s">
        <v>180</v>
      </c>
      <c r="C7" s="162"/>
      <c r="D7" s="165"/>
      <c r="E7" s="165"/>
      <c r="F7" s="165"/>
      <c r="G7" s="165"/>
      <c r="H7" s="165"/>
      <c r="I7" s="165"/>
      <c r="J7" s="521"/>
    </row>
    <row r="8" spans="1:10" ht="14.25" customHeight="1" hidden="1">
      <c r="A8" s="659">
        <v>3</v>
      </c>
      <c r="B8" s="167" t="s">
        <v>181</v>
      </c>
      <c r="C8" s="162"/>
      <c r="D8" s="163"/>
      <c r="E8" s="163"/>
      <c r="F8" s="163"/>
      <c r="G8" s="163"/>
      <c r="H8" s="164"/>
      <c r="I8" s="163"/>
      <c r="J8" s="521"/>
    </row>
    <row r="9" spans="1:10" ht="14.25" customHeight="1" hidden="1">
      <c r="A9" s="659"/>
      <c r="B9" s="502" t="s">
        <v>182</v>
      </c>
      <c r="C9" s="162"/>
      <c r="D9" s="165"/>
      <c r="E9" s="165"/>
      <c r="F9" s="165"/>
      <c r="G9" s="165"/>
      <c r="H9" s="165"/>
      <c r="I9" s="165"/>
      <c r="J9" s="521"/>
    </row>
    <row r="10" spans="1:10" ht="14.25" customHeight="1" hidden="1">
      <c r="A10" s="659">
        <v>4</v>
      </c>
      <c r="B10" s="502" t="s">
        <v>183</v>
      </c>
      <c r="C10" s="162"/>
      <c r="D10" s="163"/>
      <c r="E10" s="163"/>
      <c r="F10" s="163"/>
      <c r="G10" s="163"/>
      <c r="H10" s="164"/>
      <c r="I10" s="163"/>
      <c r="J10" s="521"/>
    </row>
    <row r="11" spans="1:10" ht="14.25" customHeight="1" hidden="1">
      <c r="A11" s="659"/>
      <c r="B11" s="502" t="s">
        <v>184</v>
      </c>
      <c r="C11" s="162"/>
      <c r="D11" s="165"/>
      <c r="E11" s="165"/>
      <c r="F11" s="165"/>
      <c r="G11" s="165"/>
      <c r="H11" s="165"/>
      <c r="I11" s="165"/>
      <c r="J11" s="521"/>
    </row>
    <row r="12" spans="1:10" ht="14.25" customHeight="1" hidden="1">
      <c r="A12" s="659">
        <v>5</v>
      </c>
      <c r="B12" s="502" t="s">
        <v>185</v>
      </c>
      <c r="C12" s="162"/>
      <c r="D12" s="163"/>
      <c r="E12" s="163"/>
      <c r="F12" s="163"/>
      <c r="G12" s="163"/>
      <c r="H12" s="164"/>
      <c r="I12" s="163"/>
      <c r="J12" s="521"/>
    </row>
    <row r="13" spans="1:10" ht="14.25" customHeight="1" hidden="1">
      <c r="A13" s="659"/>
      <c r="B13" s="502" t="s">
        <v>186</v>
      </c>
      <c r="C13" s="162"/>
      <c r="D13" s="165"/>
      <c r="E13" s="165"/>
      <c r="F13" s="165"/>
      <c r="G13" s="165"/>
      <c r="H13" s="165"/>
      <c r="I13" s="165"/>
      <c r="J13" s="521"/>
    </row>
    <row r="14" spans="1:12" ht="14.25" customHeight="1">
      <c r="A14" s="659">
        <v>1</v>
      </c>
      <c r="B14" s="679" t="str">
        <f>Planilha!C11</f>
        <v>ADMINISTRAÇÃO LOCAL</v>
      </c>
      <c r="C14" s="162" t="s">
        <v>177</v>
      </c>
      <c r="D14" s="504">
        <f>D15/D47</f>
        <v>0.0241</v>
      </c>
      <c r="E14" s="163">
        <v>0.2</v>
      </c>
      <c r="F14" s="163">
        <v>0.2</v>
      </c>
      <c r="G14" s="163">
        <v>0.15</v>
      </c>
      <c r="H14" s="163">
        <v>0.15</v>
      </c>
      <c r="I14" s="163">
        <v>0.15</v>
      </c>
      <c r="J14" s="522">
        <v>0.15</v>
      </c>
      <c r="K14" s="508">
        <f>SUM(E14:J14)</f>
        <v>1</v>
      </c>
      <c r="L14" s="508"/>
    </row>
    <row r="15" spans="1:12" ht="14.25" customHeight="1">
      <c r="A15" s="659"/>
      <c r="B15" s="679"/>
      <c r="C15" s="162" t="s">
        <v>178</v>
      </c>
      <c r="D15" s="505">
        <f>Planilha!H11</f>
        <v>7179.8</v>
      </c>
      <c r="E15" s="165">
        <f>E14*D15</f>
        <v>1435.96</v>
      </c>
      <c r="F15" s="165">
        <f>F14*D15</f>
        <v>1435.96</v>
      </c>
      <c r="G15" s="165">
        <f>G14*D15</f>
        <v>1076.97</v>
      </c>
      <c r="H15" s="165">
        <f>H14*D15</f>
        <v>1076.97</v>
      </c>
      <c r="I15" s="165">
        <f>I14*D15</f>
        <v>1076.97</v>
      </c>
      <c r="J15" s="523">
        <f>J14*D15</f>
        <v>1076.97</v>
      </c>
      <c r="K15" s="518">
        <f>SUM(E15:J15)</f>
        <v>7179.8</v>
      </c>
      <c r="L15" s="509"/>
    </row>
    <row r="16" spans="1:11" ht="14.25" customHeight="1">
      <c r="A16" s="659">
        <v>2</v>
      </c>
      <c r="B16" s="679" t="str">
        <f>'[1]Planilha'!C11</f>
        <v>SERVIÇOS PRELIMINARES</v>
      </c>
      <c r="C16" s="162" t="s">
        <v>177</v>
      </c>
      <c r="D16" s="504">
        <f>D17/D47</f>
        <v>0.011</v>
      </c>
      <c r="E16" s="163">
        <v>1</v>
      </c>
      <c r="F16" s="163"/>
      <c r="G16" s="163"/>
      <c r="H16" s="164"/>
      <c r="I16" s="163"/>
      <c r="J16" s="521"/>
      <c r="K16" s="508">
        <f aca="true" t="shared" si="0" ref="K16:K46">SUM(E16:J16)</f>
        <v>1</v>
      </c>
    </row>
    <row r="17" spans="1:11" ht="14.25" customHeight="1">
      <c r="A17" s="659"/>
      <c r="B17" s="679"/>
      <c r="C17" s="162" t="s">
        <v>178</v>
      </c>
      <c r="D17" s="505">
        <f>Planilha!H14</f>
        <v>3274.81</v>
      </c>
      <c r="E17" s="165">
        <f>D17</f>
        <v>3274.81</v>
      </c>
      <c r="F17" s="165"/>
      <c r="G17" s="165"/>
      <c r="H17" s="165"/>
      <c r="I17" s="165"/>
      <c r="J17" s="521"/>
      <c r="K17" s="518">
        <f t="shared" si="0"/>
        <v>3274.81</v>
      </c>
    </row>
    <row r="18" spans="1:11" ht="14.25" customHeight="1">
      <c r="A18" s="659">
        <v>3</v>
      </c>
      <c r="B18" s="679" t="str">
        <f>Planilha!C18</f>
        <v>REMOÇÕES E DEMOLIÇÕES</v>
      </c>
      <c r="C18" s="162" t="s">
        <v>177</v>
      </c>
      <c r="D18" s="504">
        <f>D19/D47</f>
        <v>0.058</v>
      </c>
      <c r="E18" s="163">
        <v>0.1</v>
      </c>
      <c r="F18" s="164">
        <v>0.2</v>
      </c>
      <c r="G18" s="163">
        <v>0.4</v>
      </c>
      <c r="H18" s="164">
        <v>0.15</v>
      </c>
      <c r="I18" s="163">
        <v>0.15</v>
      </c>
      <c r="J18" s="521"/>
      <c r="K18" s="508">
        <f t="shared" si="0"/>
        <v>1</v>
      </c>
    </row>
    <row r="19" spans="1:11" ht="14.25" customHeight="1">
      <c r="A19" s="659"/>
      <c r="B19" s="679"/>
      <c r="C19" s="162" t="s">
        <v>178</v>
      </c>
      <c r="D19" s="505">
        <f>Planilha!H18</f>
        <v>17274.21</v>
      </c>
      <c r="E19" s="165">
        <f>E18*D19</f>
        <v>1727.42</v>
      </c>
      <c r="F19" s="165">
        <f>F18*D19</f>
        <v>3454.84</v>
      </c>
      <c r="G19" s="165">
        <f>G18*D19</f>
        <v>6909.68</v>
      </c>
      <c r="H19" s="165">
        <f>H18*D19</f>
        <v>2591.13</v>
      </c>
      <c r="I19" s="165">
        <f>I18*D19</f>
        <v>2591.13</v>
      </c>
      <c r="J19" s="521"/>
      <c r="K19" s="518">
        <f t="shared" si="0"/>
        <v>17274.2</v>
      </c>
    </row>
    <row r="20" spans="1:11" ht="14.25" customHeight="1">
      <c r="A20" s="659">
        <v>4</v>
      </c>
      <c r="B20" s="679" t="str">
        <f>Planilha!C32</f>
        <v>ESTRUTURAS DE CONCRETO</v>
      </c>
      <c r="C20" s="162" t="s">
        <v>177</v>
      </c>
      <c r="D20" s="504">
        <f>D21/D47</f>
        <v>0.0819</v>
      </c>
      <c r="E20" s="163">
        <v>0.5</v>
      </c>
      <c r="F20" s="164">
        <v>0.5</v>
      </c>
      <c r="G20" s="163"/>
      <c r="H20" s="164"/>
      <c r="I20" s="163"/>
      <c r="J20" s="521"/>
      <c r="K20" s="508">
        <f t="shared" si="0"/>
        <v>1</v>
      </c>
    </row>
    <row r="21" spans="1:11" ht="14.25" customHeight="1">
      <c r="A21" s="659"/>
      <c r="B21" s="679"/>
      <c r="C21" s="162" t="s">
        <v>178</v>
      </c>
      <c r="D21" s="505">
        <f>Planilha!H32</f>
        <v>24393.02</v>
      </c>
      <c r="E21" s="165">
        <f>E20*D21</f>
        <v>12196.51</v>
      </c>
      <c r="F21" s="165">
        <f>F20*D21</f>
        <v>12196.51</v>
      </c>
      <c r="G21" s="165"/>
      <c r="H21" s="165"/>
      <c r="I21" s="165"/>
      <c r="J21" s="521"/>
      <c r="K21" s="518">
        <f t="shared" si="0"/>
        <v>24393.02</v>
      </c>
    </row>
    <row r="22" spans="1:11" ht="14.25" customHeight="1">
      <c r="A22" s="659">
        <v>5</v>
      </c>
      <c r="B22" s="679" t="str">
        <f>'[1]Planilha'!C29</f>
        <v>ALVENARIAS</v>
      </c>
      <c r="C22" s="162" t="s">
        <v>177</v>
      </c>
      <c r="D22" s="504">
        <f>D23/D47</f>
        <v>0.0632</v>
      </c>
      <c r="E22" s="163">
        <v>0.4</v>
      </c>
      <c r="F22" s="163">
        <v>0.3</v>
      </c>
      <c r="G22" s="163">
        <v>0.3</v>
      </c>
      <c r="H22" s="164"/>
      <c r="I22" s="163"/>
      <c r="J22" s="521"/>
      <c r="K22" s="508">
        <f t="shared" si="0"/>
        <v>1</v>
      </c>
    </row>
    <row r="23" spans="1:11" ht="14.25" customHeight="1">
      <c r="A23" s="659"/>
      <c r="B23" s="679"/>
      <c r="C23" s="162" t="s">
        <v>178</v>
      </c>
      <c r="D23" s="505">
        <f>Planilha!H43</f>
        <v>18807.79</v>
      </c>
      <c r="E23" s="165">
        <f>E22*D23</f>
        <v>7523.12</v>
      </c>
      <c r="F23" s="165">
        <f>F22*D23</f>
        <v>5642.34</v>
      </c>
      <c r="G23" s="165">
        <f>G22*D23</f>
        <v>5642.34</v>
      </c>
      <c r="H23" s="165"/>
      <c r="I23" s="165"/>
      <c r="J23" s="521"/>
      <c r="K23" s="518">
        <f t="shared" si="0"/>
        <v>18807.8</v>
      </c>
    </row>
    <row r="24" spans="1:11" ht="14.25" customHeight="1" hidden="1">
      <c r="A24" s="659">
        <v>6</v>
      </c>
      <c r="B24" s="502" t="s">
        <v>183</v>
      </c>
      <c r="C24" s="162" t="s">
        <v>177</v>
      </c>
      <c r="D24" s="504"/>
      <c r="E24" s="163"/>
      <c r="F24" s="163"/>
      <c r="G24" s="163"/>
      <c r="H24" s="164"/>
      <c r="I24" s="163"/>
      <c r="J24" s="521"/>
      <c r="K24" s="508">
        <f t="shared" si="0"/>
        <v>0</v>
      </c>
    </row>
    <row r="25" spans="1:11" ht="14.25" customHeight="1" hidden="1">
      <c r="A25" s="659"/>
      <c r="B25" s="502" t="s">
        <v>184</v>
      </c>
      <c r="C25" s="162" t="s">
        <v>178</v>
      </c>
      <c r="D25" s="505"/>
      <c r="E25" s="165"/>
      <c r="F25" s="165"/>
      <c r="G25" s="165"/>
      <c r="H25" s="165"/>
      <c r="I25" s="165"/>
      <c r="J25" s="521"/>
      <c r="K25" s="508">
        <f t="shared" si="0"/>
        <v>0</v>
      </c>
    </row>
    <row r="26" spans="1:11" ht="14.25" customHeight="1">
      <c r="A26" s="659">
        <v>6</v>
      </c>
      <c r="B26" s="679" t="str">
        <f>'[1]Planilha'!C36</f>
        <v>ESQUADRIAS</v>
      </c>
      <c r="C26" s="162" t="s">
        <v>177</v>
      </c>
      <c r="D26" s="504">
        <f>D27/D47</f>
        <v>0.1498</v>
      </c>
      <c r="E26" s="163"/>
      <c r="F26" s="163">
        <v>0.3</v>
      </c>
      <c r="G26" s="163">
        <v>0.35</v>
      </c>
      <c r="H26" s="164">
        <v>0.35</v>
      </c>
      <c r="I26" s="163"/>
      <c r="J26" s="521"/>
      <c r="K26" s="508">
        <f t="shared" si="0"/>
        <v>1</v>
      </c>
    </row>
    <row r="27" spans="1:11" ht="14.25" customHeight="1">
      <c r="A27" s="659"/>
      <c r="B27" s="679"/>
      <c r="C27" s="162" t="s">
        <v>178</v>
      </c>
      <c r="D27" s="506">
        <f>Planilha!H49</f>
        <v>44604.33</v>
      </c>
      <c r="E27" s="168"/>
      <c r="F27" s="168">
        <f>F26*D27</f>
        <v>13381.3</v>
      </c>
      <c r="G27" s="168">
        <f>G26*D27</f>
        <v>15611.52</v>
      </c>
      <c r="H27" s="517">
        <f>H26*D27</f>
        <v>15611.52</v>
      </c>
      <c r="I27" s="163"/>
      <c r="J27" s="524"/>
      <c r="K27" s="518">
        <f t="shared" si="0"/>
        <v>44604.34</v>
      </c>
    </row>
    <row r="28" spans="1:12" ht="14.25" customHeight="1">
      <c r="A28" s="659">
        <v>7</v>
      </c>
      <c r="B28" s="679" t="str">
        <f>'[1]Planilha'!C42</f>
        <v>COBERTURA</v>
      </c>
      <c r="C28" s="162" t="s">
        <v>177</v>
      </c>
      <c r="D28" s="504">
        <f>D29/D47</f>
        <v>0.1482</v>
      </c>
      <c r="E28" s="163"/>
      <c r="F28" s="163"/>
      <c r="G28" s="163">
        <v>0.46</v>
      </c>
      <c r="H28" s="163"/>
      <c r="I28" s="163">
        <v>0.54</v>
      </c>
      <c r="J28" s="525"/>
      <c r="K28" s="508">
        <f t="shared" si="0"/>
        <v>1</v>
      </c>
      <c r="L28" s="513"/>
    </row>
    <row r="29" spans="1:11" ht="14.25" customHeight="1">
      <c r="A29" s="659"/>
      <c r="B29" s="679"/>
      <c r="C29" s="162" t="s">
        <v>178</v>
      </c>
      <c r="D29" s="507">
        <f>Planilha!H56</f>
        <v>44116.95</v>
      </c>
      <c r="E29" s="169"/>
      <c r="F29" s="169"/>
      <c r="G29" s="169">
        <f>G28*D29</f>
        <v>20293.8</v>
      </c>
      <c r="H29" s="169"/>
      <c r="I29" s="169">
        <f>I28*D29</f>
        <v>23823.15</v>
      </c>
      <c r="J29" s="521"/>
      <c r="K29" s="518">
        <f t="shared" si="0"/>
        <v>44116.95</v>
      </c>
    </row>
    <row r="30" spans="1:11" ht="14.25" customHeight="1">
      <c r="A30" s="659">
        <v>8</v>
      </c>
      <c r="B30" s="679" t="str">
        <f>'[1]Planilha'!C49</f>
        <v>REVESTIMENTOS </v>
      </c>
      <c r="C30" s="162" t="s">
        <v>177</v>
      </c>
      <c r="D30" s="504">
        <f>D31/D47</f>
        <v>0.0473</v>
      </c>
      <c r="E30" s="163"/>
      <c r="F30" s="163"/>
      <c r="G30" s="163"/>
      <c r="H30" s="164">
        <v>1</v>
      </c>
      <c r="I30" s="163"/>
      <c r="J30" s="524"/>
      <c r="K30" s="508">
        <f t="shared" si="0"/>
        <v>1</v>
      </c>
    </row>
    <row r="31" spans="1:11" ht="14.25" customHeight="1">
      <c r="A31" s="659"/>
      <c r="B31" s="679"/>
      <c r="C31" s="162" t="s">
        <v>178</v>
      </c>
      <c r="D31" s="505">
        <f>Planilha!H64</f>
        <v>14087.34</v>
      </c>
      <c r="E31" s="165"/>
      <c r="F31" s="165"/>
      <c r="G31" s="165"/>
      <c r="H31" s="165">
        <f>D31</f>
        <v>14087.34</v>
      </c>
      <c r="I31" s="165"/>
      <c r="J31" s="525"/>
      <c r="K31" s="518">
        <f t="shared" si="0"/>
        <v>14087.34</v>
      </c>
    </row>
    <row r="32" spans="1:11" ht="12.75">
      <c r="A32" s="659">
        <v>9</v>
      </c>
      <c r="B32" s="679" t="str">
        <f>'[1]Planilha'!C55</f>
        <v>PISO</v>
      </c>
      <c r="C32" s="162" t="s">
        <v>177</v>
      </c>
      <c r="D32" s="504">
        <f>D33/D47</f>
        <v>0.09</v>
      </c>
      <c r="E32" s="163"/>
      <c r="F32" s="163"/>
      <c r="G32" s="163"/>
      <c r="H32" s="164">
        <v>0.7</v>
      </c>
      <c r="I32" s="163">
        <v>0.3</v>
      </c>
      <c r="J32" s="524"/>
      <c r="K32" s="508">
        <f t="shared" si="0"/>
        <v>1</v>
      </c>
    </row>
    <row r="33" spans="1:13" ht="12.75">
      <c r="A33" s="659"/>
      <c r="B33" s="679"/>
      <c r="C33" s="162" t="s">
        <v>178</v>
      </c>
      <c r="D33" s="505">
        <f>Planilha!H68</f>
        <v>26787.11</v>
      </c>
      <c r="E33" s="165"/>
      <c r="F33" s="165"/>
      <c r="G33" s="165"/>
      <c r="H33" s="165">
        <f>H32*D33</f>
        <v>18750.98</v>
      </c>
      <c r="I33" s="165">
        <f>I32*D33</f>
        <v>8036.13</v>
      </c>
      <c r="J33" s="525"/>
      <c r="K33" s="518">
        <f t="shared" si="0"/>
        <v>26787.11</v>
      </c>
      <c r="M33" s="159" t="s">
        <v>36</v>
      </c>
    </row>
    <row r="34" spans="1:11" ht="12.75">
      <c r="A34" s="659">
        <v>10</v>
      </c>
      <c r="B34" s="679" t="str">
        <f>'[1]Planilha'!C59</f>
        <v>PINTURA</v>
      </c>
      <c r="C34" s="162" t="s">
        <v>177</v>
      </c>
      <c r="D34" s="504">
        <f>D35/D47</f>
        <v>0.1334</v>
      </c>
      <c r="E34" s="163"/>
      <c r="F34" s="163"/>
      <c r="G34" s="163"/>
      <c r="H34" s="164"/>
      <c r="I34" s="163"/>
      <c r="J34" s="524">
        <v>1</v>
      </c>
      <c r="K34" s="508">
        <f t="shared" si="0"/>
        <v>1</v>
      </c>
    </row>
    <row r="35" spans="1:11" ht="12.75">
      <c r="A35" s="659"/>
      <c r="B35" s="679"/>
      <c r="C35" s="162" t="s">
        <v>178</v>
      </c>
      <c r="D35" s="505">
        <f>Planilha!H76</f>
        <v>39718.65</v>
      </c>
      <c r="E35" s="165"/>
      <c r="F35" s="165"/>
      <c r="G35" s="165"/>
      <c r="H35" s="165"/>
      <c r="I35" s="165"/>
      <c r="J35" s="525">
        <f>D35</f>
        <v>39718.65</v>
      </c>
      <c r="K35" s="518">
        <f t="shared" si="0"/>
        <v>39718.65</v>
      </c>
    </row>
    <row r="36" spans="1:11" ht="12.75">
      <c r="A36" s="659">
        <v>11</v>
      </c>
      <c r="B36" s="679" t="str">
        <f>'[1]Planilha'!C69</f>
        <v>INSTALAÇÕES HIDROSSANITÁRIAS</v>
      </c>
      <c r="C36" s="162" t="s">
        <v>177</v>
      </c>
      <c r="D36" s="504">
        <f>D37/D47</f>
        <v>0.0188</v>
      </c>
      <c r="E36" s="163"/>
      <c r="F36" s="163">
        <v>0.5</v>
      </c>
      <c r="G36" s="163">
        <v>0.5</v>
      </c>
      <c r="H36" s="164"/>
      <c r="I36" s="163"/>
      <c r="J36" s="524"/>
      <c r="K36" s="508">
        <f t="shared" si="0"/>
        <v>1</v>
      </c>
    </row>
    <row r="37" spans="1:11" ht="12.75">
      <c r="A37" s="659"/>
      <c r="B37" s="679"/>
      <c r="C37" s="162" t="s">
        <v>178</v>
      </c>
      <c r="D37" s="505">
        <f>Planilha!H86</f>
        <v>5587.92</v>
      </c>
      <c r="E37" s="165"/>
      <c r="F37" s="165">
        <f>F36*D37</f>
        <v>2793.96</v>
      </c>
      <c r="G37" s="165">
        <f>G36*D37</f>
        <v>2793.96</v>
      </c>
      <c r="H37" s="165"/>
      <c r="I37" s="165"/>
      <c r="J37" s="525"/>
      <c r="K37" s="518">
        <f t="shared" si="0"/>
        <v>5587.92</v>
      </c>
    </row>
    <row r="38" spans="1:11" ht="12.75">
      <c r="A38" s="659">
        <v>12</v>
      </c>
      <c r="B38" s="679" t="str">
        <f>Planilha!C94</f>
        <v>LOUÇAS, BANCADAS, ACESSÓRIOS E METAIS</v>
      </c>
      <c r="C38" s="162" t="s">
        <v>177</v>
      </c>
      <c r="D38" s="504">
        <f>D39/D47</f>
        <v>0.0359</v>
      </c>
      <c r="E38" s="163"/>
      <c r="F38" s="163"/>
      <c r="G38" s="163"/>
      <c r="H38" s="164"/>
      <c r="I38" s="514">
        <v>0.5</v>
      </c>
      <c r="J38" s="524">
        <v>0.5</v>
      </c>
      <c r="K38" s="508">
        <f t="shared" si="0"/>
        <v>1</v>
      </c>
    </row>
    <row r="39" spans="1:11" ht="12.75">
      <c r="A39" s="659"/>
      <c r="B39" s="679"/>
      <c r="C39" s="162" t="s">
        <v>178</v>
      </c>
      <c r="D39" s="505">
        <f>Planilha!H94</f>
        <v>10685.14</v>
      </c>
      <c r="E39" s="165"/>
      <c r="F39" s="165"/>
      <c r="G39" s="165"/>
      <c r="H39" s="165"/>
      <c r="I39" s="165">
        <f>I38*D39</f>
        <v>5342.57</v>
      </c>
      <c r="J39" s="525">
        <f>J38*D39</f>
        <v>5342.57</v>
      </c>
      <c r="K39" s="518">
        <f t="shared" si="0"/>
        <v>10685.14</v>
      </c>
    </row>
    <row r="40" spans="1:11" ht="12.75">
      <c r="A40" s="659">
        <v>13</v>
      </c>
      <c r="B40" s="679" t="str">
        <f>Planilha!C108</f>
        <v>INSTALAÇÕES ELÉTRICAS</v>
      </c>
      <c r="C40" s="162" t="s">
        <v>177</v>
      </c>
      <c r="D40" s="504">
        <f>D41/D47</f>
        <v>0.032</v>
      </c>
      <c r="E40" s="163"/>
      <c r="F40" s="163"/>
      <c r="G40" s="164">
        <v>1</v>
      </c>
      <c r="H40" s="166"/>
      <c r="I40" s="163"/>
      <c r="J40" s="524"/>
      <c r="K40" s="508">
        <f t="shared" si="0"/>
        <v>1</v>
      </c>
    </row>
    <row r="41" spans="1:11" ht="12.75">
      <c r="A41" s="659"/>
      <c r="B41" s="679"/>
      <c r="C41" s="162" t="s">
        <v>178</v>
      </c>
      <c r="D41" s="505">
        <f>Planilha!H108</f>
        <v>9522.71</v>
      </c>
      <c r="E41" s="165"/>
      <c r="F41" s="165"/>
      <c r="G41" s="165">
        <f>D41</f>
        <v>9522.71</v>
      </c>
      <c r="H41" s="526"/>
      <c r="I41" s="165"/>
      <c r="J41" s="525"/>
      <c r="K41" s="518">
        <f t="shared" si="0"/>
        <v>9522.71</v>
      </c>
    </row>
    <row r="42" spans="1:11" ht="12.75">
      <c r="A42" s="659">
        <v>14</v>
      </c>
      <c r="B42" s="679" t="str">
        <f>Planilha!C112</f>
        <v>SUMIDOURO</v>
      </c>
      <c r="C42" s="162" t="s">
        <v>177</v>
      </c>
      <c r="D42" s="504">
        <f>D43/D47</f>
        <v>0.0577</v>
      </c>
      <c r="E42" s="163">
        <v>1</v>
      </c>
      <c r="F42" s="163"/>
      <c r="G42" s="163"/>
      <c r="H42" s="164"/>
      <c r="I42" s="163"/>
      <c r="J42" s="524"/>
      <c r="K42" s="508">
        <f t="shared" si="0"/>
        <v>1</v>
      </c>
    </row>
    <row r="43" spans="1:11" ht="12.75">
      <c r="A43" s="659"/>
      <c r="B43" s="679"/>
      <c r="C43" s="162" t="s">
        <v>178</v>
      </c>
      <c r="D43" s="505">
        <f>Planilha!H112</f>
        <v>17176.27</v>
      </c>
      <c r="E43" s="165">
        <f>D43</f>
        <v>17176.27</v>
      </c>
      <c r="F43" s="165"/>
      <c r="G43" s="165"/>
      <c r="H43" s="165"/>
      <c r="I43" s="165"/>
      <c r="J43" s="525"/>
      <c r="K43" s="518">
        <f t="shared" si="0"/>
        <v>17176.27</v>
      </c>
    </row>
    <row r="44" spans="1:11" ht="12.75">
      <c r="A44" s="659">
        <v>15</v>
      </c>
      <c r="B44" s="679" t="str">
        <f>Planilha!C114</f>
        <v>RAMPA E PASSEIO</v>
      </c>
      <c r="C44" s="162" t="s">
        <v>177</v>
      </c>
      <c r="D44" s="504">
        <f>D45/D47</f>
        <v>0.0486</v>
      </c>
      <c r="E44" s="163"/>
      <c r="F44" s="163">
        <v>1</v>
      </c>
      <c r="G44" s="163"/>
      <c r="H44" s="164"/>
      <c r="I44" s="163"/>
      <c r="J44" s="524"/>
      <c r="K44" s="508">
        <f t="shared" si="0"/>
        <v>1</v>
      </c>
    </row>
    <row r="45" spans="1:11" ht="12.75">
      <c r="A45" s="659"/>
      <c r="B45" s="679"/>
      <c r="C45" s="162" t="s">
        <v>178</v>
      </c>
      <c r="D45" s="505">
        <f>Planilha!H114</f>
        <v>14457.58</v>
      </c>
      <c r="E45" s="165"/>
      <c r="F45" s="165">
        <f>D45</f>
        <v>14457.58</v>
      </c>
      <c r="G45" s="165"/>
      <c r="H45" s="165"/>
      <c r="I45" s="165"/>
      <c r="J45" s="525"/>
      <c r="K45" s="518">
        <f t="shared" si="0"/>
        <v>14457.58</v>
      </c>
    </row>
    <row r="46" spans="1:12" ht="14.25" customHeight="1">
      <c r="A46" s="667" t="s">
        <v>2</v>
      </c>
      <c r="B46" s="668"/>
      <c r="C46" s="170" t="s">
        <v>177</v>
      </c>
      <c r="D46" s="519">
        <v>1</v>
      </c>
      <c r="E46" s="171">
        <f>E47/D47</f>
        <v>0.1456</v>
      </c>
      <c r="F46" s="171">
        <f>F47/D47</f>
        <v>0.1793</v>
      </c>
      <c r="G46" s="171">
        <f>G47/D47</f>
        <v>0.2078</v>
      </c>
      <c r="H46" s="171">
        <f>H47/D47</f>
        <v>0.1751</v>
      </c>
      <c r="I46" s="171">
        <f>I47/D47</f>
        <v>0.1373</v>
      </c>
      <c r="J46" s="527">
        <f>J47/D47</f>
        <v>0.155</v>
      </c>
      <c r="K46" s="508">
        <f t="shared" si="0"/>
        <v>1.0001</v>
      </c>
      <c r="L46" s="508"/>
    </row>
    <row r="47" spans="1:11" ht="13.5" customHeight="1" thickBot="1">
      <c r="A47" s="681"/>
      <c r="B47" s="682"/>
      <c r="C47" s="172" t="s">
        <v>178</v>
      </c>
      <c r="D47" s="173">
        <f>SUM(D15,D17,D19,D21,D23,D27,D29,D31,D33,D35,D37,D39,D41,D43,D45)</f>
        <v>297673.63</v>
      </c>
      <c r="E47" s="173">
        <f>E15+E17+E19+E21+E23+E43</f>
        <v>43334.09</v>
      </c>
      <c r="F47" s="173">
        <f>F15+F17+F21+F23+F27+F19+F29+F31+F33+F35+F37+F39+F41+F43+F45</f>
        <v>53362.49</v>
      </c>
      <c r="G47" s="173">
        <f>G15+G17+G21+G23+G27+G19+G29+G31+G33+G35+G37+G39+G41+G43+G45</f>
        <v>61850.98</v>
      </c>
      <c r="H47" s="173">
        <f>H15+H17+H19+H21+H27+H31+H33</f>
        <v>52117.94</v>
      </c>
      <c r="I47" s="173">
        <f>I15+I17+I21+I23+I27+I19+I29+I31+I33+I35+I37+I39+I41+I43+I45</f>
        <v>40869.95</v>
      </c>
      <c r="J47" s="528">
        <f>J15+J17+J21+J23+J27+J19+J29+J31+J33+J35+J37+J39+J41+J43+J45</f>
        <v>46138.19</v>
      </c>
      <c r="K47" s="509">
        <f>E47+F47+G47+H47+I47+J47</f>
        <v>297673.64</v>
      </c>
    </row>
    <row r="48" spans="1:10" ht="13.5" customHeight="1">
      <c r="A48" s="116"/>
      <c r="B48" s="117"/>
      <c r="C48" s="117"/>
      <c r="D48" s="117"/>
      <c r="E48" s="117"/>
      <c r="F48" s="117"/>
      <c r="G48" s="117"/>
      <c r="H48" s="117"/>
      <c r="I48" s="526"/>
      <c r="J48" s="529"/>
    </row>
    <row r="49" spans="1:10" ht="13.5" customHeight="1">
      <c r="A49" s="116"/>
      <c r="B49" s="117"/>
      <c r="C49" s="117"/>
      <c r="D49" s="117"/>
      <c r="E49" s="117"/>
      <c r="F49" s="117"/>
      <c r="G49" s="117"/>
      <c r="H49" s="117"/>
      <c r="I49" s="526"/>
      <c r="J49" s="529"/>
    </row>
    <row r="50" spans="1:10" ht="13.5" customHeight="1">
      <c r="A50" s="116"/>
      <c r="B50" s="592"/>
      <c r="C50" s="592"/>
      <c r="D50" s="117"/>
      <c r="E50" s="592">
        <v>1697007</v>
      </c>
      <c r="F50" s="592"/>
      <c r="G50" s="497"/>
      <c r="H50" s="117"/>
      <c r="I50" s="526"/>
      <c r="J50" s="529"/>
    </row>
    <row r="51" spans="1:10" ht="12.75">
      <c r="A51" s="485"/>
      <c r="B51" s="683" t="s">
        <v>198</v>
      </c>
      <c r="C51" s="683"/>
      <c r="D51" s="150"/>
      <c r="E51" s="643" t="s">
        <v>87</v>
      </c>
      <c r="F51" s="643"/>
      <c r="G51" s="499"/>
      <c r="H51" s="150"/>
      <c r="I51" s="526"/>
      <c r="J51" s="529"/>
    </row>
    <row r="52" spans="1:10" ht="12.75">
      <c r="A52" s="118"/>
      <c r="B52" s="119"/>
      <c r="C52" s="119"/>
      <c r="D52" s="119"/>
      <c r="E52" s="119"/>
      <c r="F52" s="119"/>
      <c r="G52" s="119"/>
      <c r="H52" s="119"/>
      <c r="I52" s="526"/>
      <c r="J52" s="529"/>
    </row>
    <row r="53" spans="1:10" ht="12.75">
      <c r="A53" s="118"/>
      <c r="B53" s="119"/>
      <c r="C53" s="119"/>
      <c r="D53" s="119"/>
      <c r="E53" s="119"/>
      <c r="F53" s="119"/>
      <c r="G53" s="119"/>
      <c r="H53" s="119"/>
      <c r="I53" s="526"/>
      <c r="J53" s="529"/>
    </row>
    <row r="54" spans="1:10" ht="12.75">
      <c r="A54" s="116"/>
      <c r="B54" s="592"/>
      <c r="C54" s="592"/>
      <c r="D54" s="117"/>
      <c r="E54" s="589"/>
      <c r="F54" s="589"/>
      <c r="G54" s="497"/>
      <c r="H54" s="117"/>
      <c r="I54" s="526"/>
      <c r="J54" s="529"/>
    </row>
    <row r="55" spans="1:10" ht="13.5" thickBot="1">
      <c r="A55" s="487"/>
      <c r="B55" s="680" t="s">
        <v>88</v>
      </c>
      <c r="C55" s="680"/>
      <c r="D55" s="488"/>
      <c r="E55" s="632"/>
      <c r="F55" s="632"/>
      <c r="G55" s="498"/>
      <c r="H55" s="488"/>
      <c r="I55" s="530"/>
      <c r="J55" s="531"/>
    </row>
  </sheetData>
  <sheetProtection/>
  <mergeCells count="50">
    <mergeCell ref="A14:A15"/>
    <mergeCell ref="B14:B15"/>
    <mergeCell ref="A44:A45"/>
    <mergeCell ref="B44:B45"/>
    <mergeCell ref="B54:C54"/>
    <mergeCell ref="A36:A37"/>
    <mergeCell ref="B36:B37"/>
    <mergeCell ref="A38:A39"/>
    <mergeCell ref="B38:B39"/>
    <mergeCell ref="A40:A41"/>
    <mergeCell ref="B40:B41"/>
    <mergeCell ref="A30:A31"/>
    <mergeCell ref="B30:B31"/>
    <mergeCell ref="A32:A33"/>
    <mergeCell ref="B32:B33"/>
    <mergeCell ref="A34:A35"/>
    <mergeCell ref="E54:F54"/>
    <mergeCell ref="B55:C55"/>
    <mergeCell ref="E55:F55"/>
    <mergeCell ref="A42:A43"/>
    <mergeCell ref="B42:B43"/>
    <mergeCell ref="A46:B47"/>
    <mergeCell ref="B50:C50"/>
    <mergeCell ref="E50:F50"/>
    <mergeCell ref="B51:C51"/>
    <mergeCell ref="E51:F51"/>
    <mergeCell ref="B34:B35"/>
    <mergeCell ref="A28:A29"/>
    <mergeCell ref="B28:B29"/>
    <mergeCell ref="A16:A17"/>
    <mergeCell ref="B16:B17"/>
    <mergeCell ref="A18:A19"/>
    <mergeCell ref="B18:B19"/>
    <mergeCell ref="A20:A21"/>
    <mergeCell ref="B20:B21"/>
    <mergeCell ref="A22:A23"/>
    <mergeCell ref="B22:B23"/>
    <mergeCell ref="A24:A25"/>
    <mergeCell ref="A26:A27"/>
    <mergeCell ref="B26:B27"/>
    <mergeCell ref="A12:A13"/>
    <mergeCell ref="A1:J1"/>
    <mergeCell ref="A2:J2"/>
    <mergeCell ref="A3:B4"/>
    <mergeCell ref="C3:D4"/>
    <mergeCell ref="A6:A7"/>
    <mergeCell ref="A8:A9"/>
    <mergeCell ref="A10:A11"/>
    <mergeCell ref="E3:H4"/>
    <mergeCell ref="I3:J4"/>
  </mergeCells>
  <printOptions horizontalCentered="1"/>
  <pageMargins left="0.3937007874015748" right="0.3937007874015748" top="0.5905511811023623" bottom="0.1968503937007874" header="0.1968503937007874" footer="0"/>
  <pageSetup horizontalDpi="600" verticalDpi="600" orientation="landscape" paperSize="9" scale="70" r:id="rId2"/>
  <drawing r:id="rId1"/>
</worksheet>
</file>

<file path=xl/worksheets/sheet5.xml><?xml version="1.0" encoding="utf-8"?>
<worksheet xmlns="http://schemas.openxmlformats.org/spreadsheetml/2006/main" xmlns:r="http://schemas.openxmlformats.org/officeDocument/2006/relationships">
  <sheetPr codeName="Plan3"/>
  <dimension ref="A1:G22"/>
  <sheetViews>
    <sheetView zoomScalePageLayoutView="0" workbookViewId="0" topLeftCell="A1">
      <selection activeCell="F18" sqref="F16:F18"/>
    </sheetView>
  </sheetViews>
  <sheetFormatPr defaultColWidth="9.140625" defaultRowHeight="12.75"/>
  <cols>
    <col min="1" max="2" width="9.140625" style="2" customWidth="1"/>
    <col min="3" max="3" width="38.57421875" style="2" customWidth="1"/>
    <col min="4" max="4" width="15.7109375" style="1" customWidth="1"/>
    <col min="5" max="5" width="9.140625" style="6" customWidth="1"/>
    <col min="6" max="6" width="12.7109375" style="6" customWidth="1"/>
    <col min="7" max="7" width="12.57421875" style="1" bestFit="1" customWidth="1"/>
    <col min="8" max="12" width="9.140625" style="4" customWidth="1"/>
    <col min="13" max="16384" width="9.140625" style="2" customWidth="1"/>
  </cols>
  <sheetData>
    <row r="1" spans="1:7" ht="12.75" customHeight="1">
      <c r="A1" s="684" t="s">
        <v>9</v>
      </c>
      <c r="B1" s="685"/>
      <c r="C1" s="685"/>
      <c r="D1" s="685"/>
      <c r="E1" s="685"/>
      <c r="F1" s="685"/>
      <c r="G1" s="686"/>
    </row>
    <row r="2" spans="1:7" ht="11.25">
      <c r="A2" s="16" t="s">
        <v>12</v>
      </c>
      <c r="B2" s="14" t="s">
        <v>13</v>
      </c>
      <c r="C2" s="11" t="s">
        <v>6</v>
      </c>
      <c r="D2" s="12" t="s">
        <v>14</v>
      </c>
      <c r="E2" s="13" t="s">
        <v>15</v>
      </c>
      <c r="F2" s="13" t="s">
        <v>7</v>
      </c>
      <c r="G2" s="17" t="s">
        <v>8</v>
      </c>
    </row>
    <row r="3" spans="1:7" ht="22.5">
      <c r="A3" s="18">
        <v>90777</v>
      </c>
      <c r="B3" s="8" t="s">
        <v>0</v>
      </c>
      <c r="C3" s="28" t="s">
        <v>17</v>
      </c>
      <c r="D3" s="9">
        <v>22</v>
      </c>
      <c r="E3" s="10">
        <v>81.18</v>
      </c>
      <c r="F3" s="10">
        <v>6</v>
      </c>
      <c r="G3" s="19">
        <f>PRODUCT(D3:F3)</f>
        <v>10715.76</v>
      </c>
    </row>
    <row r="4" spans="1:7" ht="11.25">
      <c r="A4" s="18"/>
      <c r="B4" s="8"/>
      <c r="C4" s="8"/>
      <c r="D4" s="9"/>
      <c r="E4" s="10"/>
      <c r="F4" s="10"/>
      <c r="G4" s="19"/>
    </row>
    <row r="5" spans="1:7" ht="11.25">
      <c r="A5" s="5"/>
      <c r="B5" s="3"/>
      <c r="C5" s="3"/>
      <c r="F5" s="10" t="s">
        <v>2</v>
      </c>
      <c r="G5" s="19">
        <f>SUM(G3:G4)</f>
        <v>10715.76</v>
      </c>
    </row>
    <row r="6" spans="1:7" ht="12" thickBot="1">
      <c r="A6" s="20"/>
      <c r="B6" s="21"/>
      <c r="C6" s="21" t="s">
        <v>10</v>
      </c>
      <c r="D6" s="22"/>
      <c r="E6" s="23"/>
      <c r="F6" s="23"/>
      <c r="G6" s="24"/>
    </row>
    <row r="9" spans="1:7" ht="14.25">
      <c r="A9" s="687" t="s">
        <v>16</v>
      </c>
      <c r="B9" s="687"/>
      <c r="C9" s="687"/>
      <c r="D9" s="687"/>
      <c r="E9" s="687"/>
      <c r="F9" s="687"/>
      <c r="G9" s="688"/>
    </row>
    <row r="10" spans="1:7" ht="11.25">
      <c r="A10" s="14" t="s">
        <v>12</v>
      </c>
      <c r="B10" s="14" t="s">
        <v>13</v>
      </c>
      <c r="C10" s="11" t="s">
        <v>6</v>
      </c>
      <c r="D10" s="12" t="s">
        <v>14</v>
      </c>
      <c r="E10" s="13" t="s">
        <v>15</v>
      </c>
      <c r="F10" s="13" t="s">
        <v>7</v>
      </c>
      <c r="G10" s="12" t="s">
        <v>8</v>
      </c>
    </row>
    <row r="11" spans="1:7" ht="11.25">
      <c r="A11" s="25"/>
      <c r="B11" s="25"/>
      <c r="C11" s="25"/>
      <c r="D11" s="26"/>
      <c r="E11" s="27"/>
      <c r="F11" s="27"/>
      <c r="G11" s="15">
        <v>0</v>
      </c>
    </row>
    <row r="12" spans="1:7" ht="11.25">
      <c r="A12" s="25"/>
      <c r="B12" s="25"/>
      <c r="C12" s="25"/>
      <c r="D12" s="26"/>
      <c r="E12" s="27"/>
      <c r="F12" s="27"/>
      <c r="G12" s="15">
        <v>0</v>
      </c>
    </row>
    <row r="13" spans="1:7" ht="11.25">
      <c r="A13" s="25"/>
      <c r="B13" s="25"/>
      <c r="C13" s="25"/>
      <c r="D13" s="26"/>
      <c r="E13" s="27"/>
      <c r="F13" s="27"/>
      <c r="G13" s="15">
        <f aca="true" t="shared" si="0" ref="G13:G20">D13*E13*F13</f>
        <v>0</v>
      </c>
    </row>
    <row r="14" spans="1:7" ht="11.25">
      <c r="A14" s="25"/>
      <c r="B14" s="25"/>
      <c r="C14" s="25"/>
      <c r="D14" s="26"/>
      <c r="E14" s="27"/>
      <c r="F14" s="27"/>
      <c r="G14" s="15">
        <f t="shared" si="0"/>
        <v>0</v>
      </c>
    </row>
    <row r="15" spans="1:7" ht="11.25">
      <c r="A15" s="25"/>
      <c r="B15" s="25"/>
      <c r="C15" s="25"/>
      <c r="D15" s="26"/>
      <c r="E15" s="27"/>
      <c r="F15" s="27"/>
      <c r="G15" s="15">
        <f t="shared" si="0"/>
        <v>0</v>
      </c>
    </row>
    <row r="16" spans="1:7" ht="11.25">
      <c r="A16" s="25"/>
      <c r="B16" s="25"/>
      <c r="C16" s="25"/>
      <c r="D16" s="26"/>
      <c r="E16" s="27"/>
      <c r="F16" s="27"/>
      <c r="G16" s="15">
        <f t="shared" si="0"/>
        <v>0</v>
      </c>
    </row>
    <row r="17" spans="1:7" ht="11.25">
      <c r="A17" s="25"/>
      <c r="B17" s="25"/>
      <c r="C17" s="25"/>
      <c r="D17" s="26"/>
      <c r="E17" s="27"/>
      <c r="F17" s="27"/>
      <c r="G17" s="15">
        <f t="shared" si="0"/>
        <v>0</v>
      </c>
    </row>
    <row r="18" spans="1:7" ht="11.25">
      <c r="A18" s="25"/>
      <c r="B18" s="25"/>
      <c r="C18" s="25"/>
      <c r="D18" s="26"/>
      <c r="E18" s="27"/>
      <c r="F18" s="27"/>
      <c r="G18" s="15">
        <f t="shared" si="0"/>
        <v>0</v>
      </c>
    </row>
    <row r="19" spans="1:7" ht="11.25">
      <c r="A19" s="25"/>
      <c r="B19" s="25"/>
      <c r="C19" s="25"/>
      <c r="D19" s="26"/>
      <c r="E19" s="27"/>
      <c r="F19" s="27"/>
      <c r="G19" s="15">
        <f t="shared" si="0"/>
        <v>0</v>
      </c>
    </row>
    <row r="20" spans="1:7" ht="11.25">
      <c r="A20" s="25"/>
      <c r="B20" s="25"/>
      <c r="C20" s="25"/>
      <c r="D20" s="26"/>
      <c r="E20" s="27"/>
      <c r="F20" s="27"/>
      <c r="G20" s="15">
        <f t="shared" si="0"/>
        <v>0</v>
      </c>
    </row>
    <row r="21" spans="1:7" ht="11.25">
      <c r="A21" s="3"/>
      <c r="B21" s="3"/>
      <c r="C21" s="3"/>
      <c r="F21" s="10" t="s">
        <v>2</v>
      </c>
      <c r="G21" s="15">
        <f>SUM(G11:G20)</f>
        <v>0</v>
      </c>
    </row>
    <row r="22" ht="11.25">
      <c r="C22" s="7" t="s">
        <v>11</v>
      </c>
    </row>
    <row r="24" ht="12"/>
    <row r="25" ht="12"/>
  </sheetData>
  <sheetProtection password="C8C6" sheet="1" objects="1" scenarios="1" selectLockedCells="1"/>
  <mergeCells count="2">
    <mergeCell ref="A1:G1"/>
    <mergeCell ref="A9:G9"/>
  </mergeCells>
  <printOptions/>
  <pageMargins left="0.511811024" right="0.511811024" top="0.787401575" bottom="0.787401575" header="0.31496062" footer="0.31496062"/>
  <pageSetup orientation="portrait" paperSize="9"/>
  <drawing r:id="rId1"/>
</worksheet>
</file>

<file path=xl/worksheets/sheet6.xml><?xml version="1.0" encoding="utf-8"?>
<worksheet xmlns="http://schemas.openxmlformats.org/spreadsheetml/2006/main" xmlns:r="http://schemas.openxmlformats.org/officeDocument/2006/relationships">
  <sheetPr>
    <tabColor rgb="FF002060"/>
  </sheetPr>
  <dimension ref="A1:S24"/>
  <sheetViews>
    <sheetView showGridLines="0" showZeros="0" view="pageBreakPreview" zoomScaleSheetLayoutView="100" zoomScalePageLayoutView="0" workbookViewId="0" topLeftCell="A1">
      <selection activeCell="N12" sqref="N12"/>
    </sheetView>
  </sheetViews>
  <sheetFormatPr defaultColWidth="9.140625" defaultRowHeight="12.75"/>
  <cols>
    <col min="1" max="1" width="5.421875" style="0" bestFit="1" customWidth="1"/>
    <col min="2" max="2" width="10.7109375" style="0" bestFit="1" customWidth="1"/>
    <col min="3" max="3" width="48.00390625" style="151" customWidth="1"/>
    <col min="5" max="5" width="13.00390625" style="0" customWidth="1"/>
    <col min="6" max="7" width="12.28125" style="0" customWidth="1"/>
    <col min="8" max="8" width="0" style="0" hidden="1" customWidth="1"/>
    <col min="9" max="9" width="13.140625" style="0" hidden="1" customWidth="1"/>
    <col min="10" max="10" width="11.7109375" style="0" bestFit="1" customWidth="1"/>
    <col min="11" max="11" width="11.8515625" style="0" customWidth="1"/>
    <col min="256" max="16384" width="5.421875" style="0" bestFit="1" customWidth="1"/>
  </cols>
  <sheetData>
    <row r="1" spans="1:7" ht="69.75" customHeight="1">
      <c r="A1" s="602"/>
      <c r="B1" s="603"/>
      <c r="C1" s="604"/>
      <c r="D1" s="604"/>
      <c r="E1" s="604"/>
      <c r="F1" s="604"/>
      <c r="G1" s="605"/>
    </row>
    <row r="2" spans="1:7" ht="3.75" customHeight="1" thickBot="1">
      <c r="A2" s="606"/>
      <c r="B2" s="607"/>
      <c r="C2" s="607"/>
      <c r="D2" s="607"/>
      <c r="E2" s="607"/>
      <c r="F2" s="607"/>
      <c r="G2" s="608"/>
    </row>
    <row r="3" spans="1:7" ht="17.25" customHeight="1" thickBot="1">
      <c r="A3" s="609" t="s">
        <v>324</v>
      </c>
      <c r="B3" s="610"/>
      <c r="C3" s="610"/>
      <c r="D3" s="610"/>
      <c r="E3" s="610"/>
      <c r="F3" s="610"/>
      <c r="G3" s="611"/>
    </row>
    <row r="4" spans="1:7" ht="3.75" customHeight="1" thickBot="1">
      <c r="A4" s="121"/>
      <c r="B4" s="122"/>
      <c r="C4" s="122"/>
      <c r="D4" s="122"/>
      <c r="E4" s="122"/>
      <c r="F4" s="122"/>
      <c r="G4" s="123"/>
    </row>
    <row r="5" spans="1:14" ht="26.25" customHeight="1">
      <c r="A5" s="612" t="s">
        <v>192</v>
      </c>
      <c r="B5" s="613"/>
      <c r="C5" s="613"/>
      <c r="D5" s="614"/>
      <c r="E5" s="615" t="s">
        <v>622</v>
      </c>
      <c r="F5" s="616"/>
      <c r="G5" s="617"/>
      <c r="M5">
        <v>2</v>
      </c>
      <c r="N5">
        <v>3</v>
      </c>
    </row>
    <row r="6" spans="1:14" ht="27" customHeight="1">
      <c r="A6" s="618" t="s">
        <v>204</v>
      </c>
      <c r="B6" s="619"/>
      <c r="C6" s="619"/>
      <c r="D6" s="619"/>
      <c r="E6" s="619"/>
      <c r="F6" s="619"/>
      <c r="G6" s="689"/>
      <c r="M6">
        <v>2</v>
      </c>
      <c r="N6">
        <v>5</v>
      </c>
    </row>
    <row r="7" spans="1:7" ht="3.75" customHeight="1" thickBot="1">
      <c r="A7" s="633"/>
      <c r="B7" s="634"/>
      <c r="C7" s="634"/>
      <c r="D7" s="634"/>
      <c r="E7" s="634"/>
      <c r="F7" s="634"/>
      <c r="G7" s="635"/>
    </row>
    <row r="8" spans="1:19" ht="27" thickBot="1">
      <c r="A8" s="126" t="s">
        <v>96</v>
      </c>
      <c r="B8" s="127" t="s">
        <v>97</v>
      </c>
      <c r="C8" s="127" t="s">
        <v>98</v>
      </c>
      <c r="D8" s="127" t="s">
        <v>99</v>
      </c>
      <c r="E8" s="127" t="s">
        <v>326</v>
      </c>
      <c r="F8" s="128" t="s">
        <v>325</v>
      </c>
      <c r="G8" s="129" t="s">
        <v>327</v>
      </c>
      <c r="K8" s="52"/>
      <c r="L8" s="52"/>
      <c r="M8" s="52" t="e">
        <f>M5*M6*#REF!*#REF!</f>
        <v>#REF!</v>
      </c>
      <c r="N8" s="52" t="e">
        <f>N5*N6*#REF!*#REF!</f>
        <v>#REF!</v>
      </c>
      <c r="O8" s="52"/>
      <c r="P8" s="52"/>
      <c r="Q8" s="52"/>
      <c r="R8" s="52"/>
      <c r="S8" s="52"/>
    </row>
    <row r="9" spans="1:19" s="137" customFormat="1" ht="30">
      <c r="A9" s="297">
        <v>1</v>
      </c>
      <c r="B9" s="296">
        <v>94201</v>
      </c>
      <c r="C9" s="295" t="s">
        <v>328</v>
      </c>
      <c r="D9" s="298" t="s">
        <v>107</v>
      </c>
      <c r="E9" s="181"/>
      <c r="F9" s="181"/>
      <c r="G9" s="299"/>
      <c r="J9" s="138"/>
      <c r="K9" s="247"/>
      <c r="L9" s="247"/>
      <c r="M9" s="247"/>
      <c r="N9" s="247"/>
      <c r="O9" s="247"/>
      <c r="P9" s="247"/>
      <c r="Q9" s="247"/>
      <c r="R9" s="247"/>
      <c r="S9" s="247"/>
    </row>
    <row r="10" spans="1:19" s="139" customFormat="1" ht="12.75">
      <c r="A10" s="179" t="s">
        <v>18</v>
      </c>
      <c r="B10" s="304">
        <v>88316</v>
      </c>
      <c r="C10" s="259" t="s">
        <v>329</v>
      </c>
      <c r="D10" s="305" t="s">
        <v>202</v>
      </c>
      <c r="E10" s="300">
        <v>0.399</v>
      </c>
      <c r="F10" s="256">
        <v>18.74</v>
      </c>
      <c r="G10" s="182">
        <f>E10*F10</f>
        <v>7.48</v>
      </c>
      <c r="J10" s="140"/>
      <c r="K10" s="248"/>
      <c r="L10" s="248"/>
      <c r="M10" s="248"/>
      <c r="N10" s="248"/>
      <c r="O10" s="248"/>
      <c r="P10" s="248"/>
      <c r="Q10" s="248"/>
      <c r="R10" s="248"/>
      <c r="S10" s="248"/>
    </row>
    <row r="11" spans="1:19" s="139" customFormat="1" ht="12.75">
      <c r="A11" s="179" t="s">
        <v>34</v>
      </c>
      <c r="B11" s="306">
        <v>88323</v>
      </c>
      <c r="C11" s="295" t="s">
        <v>330</v>
      </c>
      <c r="D11" s="305" t="s">
        <v>202</v>
      </c>
      <c r="E11" s="302">
        <v>0.133</v>
      </c>
      <c r="F11" s="181">
        <v>25.35</v>
      </c>
      <c r="G11" s="182">
        <f>E11*F11</f>
        <v>3.37</v>
      </c>
      <c r="J11" s="140"/>
      <c r="K11" s="248"/>
      <c r="L11" s="248"/>
      <c r="M11" s="248"/>
      <c r="N11" s="248"/>
      <c r="O11" s="248"/>
      <c r="P11" s="248"/>
      <c r="Q11" s="248"/>
      <c r="R11" s="248"/>
      <c r="S11" s="248"/>
    </row>
    <row r="12" spans="1:19" s="139" customFormat="1" ht="30">
      <c r="A12" s="179" t="s">
        <v>334</v>
      </c>
      <c r="B12" s="306">
        <v>93281</v>
      </c>
      <c r="C12" s="295" t="s">
        <v>332</v>
      </c>
      <c r="D12" s="307" t="s">
        <v>333</v>
      </c>
      <c r="E12" s="300">
        <v>0.0372</v>
      </c>
      <c r="F12" s="256">
        <v>27.88</v>
      </c>
      <c r="G12" s="182">
        <f>E12*F12</f>
        <v>1.04</v>
      </c>
      <c r="J12" s="140"/>
      <c r="K12" s="248"/>
      <c r="L12" s="248"/>
      <c r="M12" s="248"/>
      <c r="N12" s="248"/>
      <c r="O12" s="248"/>
      <c r="P12" s="248"/>
      <c r="Q12" s="248"/>
      <c r="R12" s="248"/>
      <c r="S12" s="248"/>
    </row>
    <row r="13" spans="1:19" s="139" customFormat="1" ht="21" thickBot="1">
      <c r="A13" s="179" t="s">
        <v>335</v>
      </c>
      <c r="B13" s="308">
        <v>93282</v>
      </c>
      <c r="C13" s="309" t="s">
        <v>331</v>
      </c>
      <c r="D13" s="310" t="s">
        <v>336</v>
      </c>
      <c r="E13" s="302">
        <v>0.0516</v>
      </c>
      <c r="F13" s="315">
        <v>27.08</v>
      </c>
      <c r="G13" s="316">
        <f>E13*F13</f>
        <v>1.4</v>
      </c>
      <c r="J13" s="140">
        <f>F13*1.2247</f>
        <v>33.16</v>
      </c>
      <c r="K13" s="248"/>
      <c r="L13" s="248"/>
      <c r="M13" s="248"/>
      <c r="N13" s="248"/>
      <c r="O13" s="248"/>
      <c r="P13" s="248"/>
      <c r="Q13" s="248"/>
      <c r="R13" s="248"/>
      <c r="S13" s="248"/>
    </row>
    <row r="14" spans="1:19" s="139" customFormat="1" ht="13.5" thickBot="1">
      <c r="A14" s="179"/>
      <c r="B14" s="306"/>
      <c r="C14" s="311"/>
      <c r="D14" s="305"/>
      <c r="E14" s="303"/>
      <c r="F14" s="321" t="s">
        <v>2</v>
      </c>
      <c r="G14" s="317">
        <f>SUM(G10:G13)</f>
        <v>13.29</v>
      </c>
      <c r="J14" s="140"/>
      <c r="K14" s="248"/>
      <c r="L14" s="248"/>
      <c r="M14" s="248"/>
      <c r="N14" s="248"/>
      <c r="O14" s="248"/>
      <c r="P14" s="248"/>
      <c r="Q14" s="248"/>
      <c r="R14" s="248"/>
      <c r="S14" s="248"/>
    </row>
    <row r="15" spans="1:19" s="139" customFormat="1" ht="12.75">
      <c r="A15" s="312"/>
      <c r="B15" s="312"/>
      <c r="C15" s="318"/>
      <c r="D15" s="313"/>
      <c r="E15" s="301"/>
      <c r="F15" s="314"/>
      <c r="G15" s="319"/>
      <c r="J15" s="140"/>
      <c r="K15" s="248"/>
      <c r="L15" s="248"/>
      <c r="M15" s="248"/>
      <c r="N15" s="248"/>
      <c r="O15" s="248"/>
      <c r="P15" s="248"/>
      <c r="Q15" s="248"/>
      <c r="R15" s="248"/>
      <c r="S15" s="248"/>
    </row>
    <row r="16" spans="1:19" s="139" customFormat="1" ht="12.75">
      <c r="A16" s="312"/>
      <c r="B16" s="312"/>
      <c r="C16" s="318"/>
      <c r="D16" s="313"/>
      <c r="E16" s="301"/>
      <c r="F16" s="314"/>
      <c r="G16" s="319"/>
      <c r="J16" s="140"/>
      <c r="K16" s="248"/>
      <c r="L16" s="248"/>
      <c r="M16" s="248"/>
      <c r="N16" s="248"/>
      <c r="O16" s="248"/>
      <c r="P16" s="248"/>
      <c r="Q16" s="248"/>
      <c r="R16" s="248"/>
      <c r="S16" s="248"/>
    </row>
    <row r="17" spans="1:10" ht="11.25" customHeight="1">
      <c r="A17" s="117"/>
      <c r="B17" s="117"/>
      <c r="C17" s="117"/>
      <c r="D17" s="117"/>
      <c r="E17" s="117"/>
      <c r="F17" s="117"/>
      <c r="G17" s="117"/>
      <c r="J17" s="95">
        <f aca="true" t="shared" si="0" ref="J17:J24">F17*1.2247</f>
        <v>0</v>
      </c>
    </row>
    <row r="18" spans="1:10" ht="11.25" customHeight="1">
      <c r="A18" s="117"/>
      <c r="B18" s="592"/>
      <c r="C18" s="592"/>
      <c r="D18" s="117"/>
      <c r="E18" s="592" t="s">
        <v>199</v>
      </c>
      <c r="F18" s="592"/>
      <c r="G18" s="117"/>
      <c r="J18" s="95">
        <f t="shared" si="0"/>
        <v>0</v>
      </c>
    </row>
    <row r="19" spans="1:10" ht="12.75">
      <c r="A19" s="150"/>
      <c r="B19" s="683" t="s">
        <v>198</v>
      </c>
      <c r="C19" s="683"/>
      <c r="D19" s="150"/>
      <c r="E19" s="643" t="s">
        <v>87</v>
      </c>
      <c r="F19" s="643"/>
      <c r="G19" s="150"/>
      <c r="J19" s="95">
        <f t="shared" si="0"/>
        <v>0</v>
      </c>
    </row>
    <row r="20" spans="1:10" ht="12.75">
      <c r="A20" s="59"/>
      <c r="B20" s="59"/>
      <c r="C20" s="85"/>
      <c r="D20" s="59"/>
      <c r="E20" s="59"/>
      <c r="F20" s="59"/>
      <c r="G20" s="59"/>
      <c r="J20" s="95">
        <f t="shared" si="0"/>
        <v>0</v>
      </c>
    </row>
    <row r="21" spans="1:10" ht="12.75">
      <c r="A21" s="59"/>
      <c r="B21" s="59"/>
      <c r="C21" s="85"/>
      <c r="D21" s="59"/>
      <c r="E21" s="59"/>
      <c r="F21" s="59"/>
      <c r="G21" s="59"/>
      <c r="J21" s="95">
        <f t="shared" si="0"/>
        <v>0</v>
      </c>
    </row>
    <row r="22" spans="1:10" ht="11.25" customHeight="1">
      <c r="A22" s="117"/>
      <c r="B22" s="592"/>
      <c r="C22" s="592"/>
      <c r="D22" s="117"/>
      <c r="E22" s="589"/>
      <c r="F22" s="589"/>
      <c r="G22" s="117"/>
      <c r="J22" s="95">
        <f t="shared" si="0"/>
        <v>0</v>
      </c>
    </row>
    <row r="23" spans="1:10" ht="12.75">
      <c r="A23" s="150"/>
      <c r="B23" s="683" t="s">
        <v>88</v>
      </c>
      <c r="C23" s="683"/>
      <c r="D23" s="150"/>
      <c r="E23" s="643"/>
      <c r="F23" s="643"/>
      <c r="G23" s="150"/>
      <c r="J23" s="95">
        <f t="shared" si="0"/>
        <v>0</v>
      </c>
    </row>
    <row r="24" ht="12" customHeight="1">
      <c r="J24" s="95">
        <f t="shared" si="0"/>
        <v>0</v>
      </c>
    </row>
    <row r="25" ht="11.25" customHeight="1"/>
    <row r="26" ht="12" customHeight="1"/>
    <row r="27" ht="13.5" customHeight="1"/>
    <row r="28" ht="4.5" customHeight="1"/>
  </sheetData>
  <sheetProtection/>
  <mergeCells count="16">
    <mergeCell ref="A1:B1"/>
    <mergeCell ref="C1:G1"/>
    <mergeCell ref="A2:G2"/>
    <mergeCell ref="A3:G3"/>
    <mergeCell ref="A5:D5"/>
    <mergeCell ref="E5:G5"/>
    <mergeCell ref="B22:C22"/>
    <mergeCell ref="E22:F22"/>
    <mergeCell ref="B23:C23"/>
    <mergeCell ref="E23:F23"/>
    <mergeCell ref="A6:G6"/>
    <mergeCell ref="A7:G7"/>
    <mergeCell ref="B18:C18"/>
    <mergeCell ref="E18:F18"/>
    <mergeCell ref="B19:C19"/>
    <mergeCell ref="E19:F19"/>
  </mergeCells>
  <printOptions horizontalCentered="1"/>
  <pageMargins left="0.3937007874015748" right="0.3937007874015748" top="0.3937007874015748" bottom="0.3937007874015748" header="0" footer="0"/>
  <pageSetup horizontalDpi="360" verticalDpi="360" orientation="portrait" paperSize="9" scale="73" r:id="rId2"/>
  <headerFooter alignWithMargins="0">
    <oddHeader>&amp;R
 &amp;P de &amp;N</oddHeader>
  </headerFooter>
  <drawing r:id="rId1"/>
</worksheet>
</file>

<file path=xl/worksheets/sheet7.xml><?xml version="1.0" encoding="utf-8"?>
<worksheet xmlns="http://schemas.openxmlformats.org/spreadsheetml/2006/main" xmlns:r="http://schemas.openxmlformats.org/officeDocument/2006/relationships">
  <sheetPr>
    <tabColor rgb="FF002060"/>
  </sheetPr>
  <dimension ref="A1:S24"/>
  <sheetViews>
    <sheetView showGridLines="0" showZeros="0" view="pageBreakPreview" zoomScaleSheetLayoutView="100" zoomScalePageLayoutView="0" workbookViewId="0" topLeftCell="A1">
      <selection activeCell="E5" sqref="E5:G5"/>
    </sheetView>
  </sheetViews>
  <sheetFormatPr defaultColWidth="9.140625" defaultRowHeight="12.75"/>
  <cols>
    <col min="1" max="1" width="5.421875" style="0" bestFit="1" customWidth="1"/>
    <col min="2" max="2" width="10.7109375" style="0" bestFit="1" customWidth="1"/>
    <col min="3" max="3" width="48.00390625" style="151" customWidth="1"/>
    <col min="5" max="5" width="13.00390625" style="0" customWidth="1"/>
    <col min="6" max="7" width="12.28125" style="0" customWidth="1"/>
    <col min="8" max="8" width="0" style="0" hidden="1" customWidth="1"/>
    <col min="9" max="9" width="13.140625" style="0" hidden="1" customWidth="1"/>
    <col min="10" max="10" width="11.7109375" style="0" bestFit="1" customWidth="1"/>
    <col min="11" max="11" width="11.8515625" style="0" customWidth="1"/>
    <col min="256" max="16384" width="5.421875" style="0" bestFit="1" customWidth="1"/>
  </cols>
  <sheetData>
    <row r="1" spans="1:7" ht="69.75" customHeight="1">
      <c r="A1" s="602"/>
      <c r="B1" s="603"/>
      <c r="C1" s="604"/>
      <c r="D1" s="604"/>
      <c r="E1" s="604"/>
      <c r="F1" s="604"/>
      <c r="G1" s="605"/>
    </row>
    <row r="2" spans="1:7" ht="3.75" customHeight="1" thickBot="1">
      <c r="A2" s="606"/>
      <c r="B2" s="607"/>
      <c r="C2" s="607"/>
      <c r="D2" s="607"/>
      <c r="E2" s="607"/>
      <c r="F2" s="607"/>
      <c r="G2" s="608"/>
    </row>
    <row r="3" spans="1:7" ht="17.25" customHeight="1" thickBot="1">
      <c r="A3" s="609" t="s">
        <v>324</v>
      </c>
      <c r="B3" s="610"/>
      <c r="C3" s="610"/>
      <c r="D3" s="610"/>
      <c r="E3" s="610"/>
      <c r="F3" s="610"/>
      <c r="G3" s="611"/>
    </row>
    <row r="4" spans="1:7" ht="3.75" customHeight="1" thickBot="1">
      <c r="A4" s="121"/>
      <c r="B4" s="122"/>
      <c r="C4" s="122"/>
      <c r="D4" s="122"/>
      <c r="E4" s="122"/>
      <c r="F4" s="122"/>
      <c r="G4" s="123"/>
    </row>
    <row r="5" spans="1:14" ht="26.25" customHeight="1">
      <c r="A5" s="612" t="s">
        <v>192</v>
      </c>
      <c r="B5" s="613"/>
      <c r="C5" s="613"/>
      <c r="D5" s="614"/>
      <c r="E5" s="615" t="s">
        <v>622</v>
      </c>
      <c r="F5" s="616"/>
      <c r="G5" s="617"/>
      <c r="M5">
        <v>2</v>
      </c>
      <c r="N5">
        <v>3</v>
      </c>
    </row>
    <row r="6" spans="1:14" ht="27" customHeight="1">
      <c r="A6" s="618" t="s">
        <v>204</v>
      </c>
      <c r="B6" s="619"/>
      <c r="C6" s="619"/>
      <c r="D6" s="619"/>
      <c r="E6" s="619"/>
      <c r="F6" s="619"/>
      <c r="G6" s="689"/>
      <c r="M6">
        <v>2</v>
      </c>
      <c r="N6">
        <v>5</v>
      </c>
    </row>
    <row r="7" spans="1:7" ht="3.75" customHeight="1" thickBot="1">
      <c r="A7" s="633"/>
      <c r="B7" s="634"/>
      <c r="C7" s="634"/>
      <c r="D7" s="634"/>
      <c r="E7" s="634"/>
      <c r="F7" s="634"/>
      <c r="G7" s="635"/>
    </row>
    <row r="8" spans="1:19" ht="27" thickBot="1">
      <c r="A8" s="126" t="s">
        <v>96</v>
      </c>
      <c r="B8" s="127" t="s">
        <v>97</v>
      </c>
      <c r="C8" s="127" t="s">
        <v>98</v>
      </c>
      <c r="D8" s="127" t="s">
        <v>99</v>
      </c>
      <c r="E8" s="127" t="s">
        <v>368</v>
      </c>
      <c r="F8" s="128" t="s">
        <v>369</v>
      </c>
      <c r="G8" s="129" t="s">
        <v>327</v>
      </c>
      <c r="K8" s="52"/>
      <c r="L8" s="52"/>
      <c r="M8" s="52" t="e">
        <f>M5*M6*#REF!*#REF!</f>
        <v>#REF!</v>
      </c>
      <c r="N8" s="52" t="e">
        <f>N5*N6*#REF!*#REF!</f>
        <v>#REF!</v>
      </c>
      <c r="O8" s="52"/>
      <c r="P8" s="52"/>
      <c r="Q8" s="52"/>
      <c r="R8" s="52"/>
      <c r="S8" s="52"/>
    </row>
    <row r="9" spans="1:19" s="137" customFormat="1" ht="40.5">
      <c r="A9" s="297">
        <v>1</v>
      </c>
      <c r="B9" s="296" t="s">
        <v>376</v>
      </c>
      <c r="C9" s="295" t="s">
        <v>516</v>
      </c>
      <c r="D9" s="298" t="s">
        <v>25</v>
      </c>
      <c r="E9" s="181"/>
      <c r="F9" s="181"/>
      <c r="G9" s="299"/>
      <c r="J9" s="138"/>
      <c r="K9" s="247"/>
      <c r="L9" s="247"/>
      <c r="M9" s="247"/>
      <c r="N9" s="247"/>
      <c r="O9" s="247"/>
      <c r="P9" s="247"/>
      <c r="Q9" s="247"/>
      <c r="R9" s="247"/>
      <c r="S9" s="247"/>
    </row>
    <row r="10" spans="1:19" s="139" customFormat="1" ht="20.25">
      <c r="A10" s="179" t="s">
        <v>18</v>
      </c>
      <c r="B10" s="304" t="s">
        <v>371</v>
      </c>
      <c r="C10" s="259" t="s">
        <v>513</v>
      </c>
      <c r="D10" s="305" t="s">
        <v>108</v>
      </c>
      <c r="E10" s="300">
        <v>0.0042667</v>
      </c>
      <c r="F10" s="256">
        <v>548.14</v>
      </c>
      <c r="G10" s="182">
        <f>E10*F10</f>
        <v>2.34</v>
      </c>
      <c r="J10" s="140"/>
      <c r="K10" s="248"/>
      <c r="L10" s="248"/>
      <c r="M10" s="248"/>
      <c r="N10" s="248"/>
      <c r="O10" s="248"/>
      <c r="P10" s="248"/>
      <c r="Q10" s="248"/>
      <c r="R10" s="248"/>
      <c r="S10" s="248"/>
    </row>
    <row r="11" spans="1:19" s="139" customFormat="1" ht="12.75">
      <c r="A11" s="179" t="s">
        <v>34</v>
      </c>
      <c r="B11" s="306" t="s">
        <v>370</v>
      </c>
      <c r="C11" s="295" t="s">
        <v>514</v>
      </c>
      <c r="D11" s="305" t="s">
        <v>202</v>
      </c>
      <c r="E11" s="302">
        <v>0.4888889</v>
      </c>
      <c r="F11" s="181">
        <v>25.14</v>
      </c>
      <c r="G11" s="182">
        <f>E11*F11</f>
        <v>12.29</v>
      </c>
      <c r="J11" s="140"/>
      <c r="K11" s="248"/>
      <c r="L11" s="248"/>
      <c r="M11" s="248"/>
      <c r="N11" s="248"/>
      <c r="O11" s="248"/>
      <c r="P11" s="248"/>
      <c r="Q11" s="248"/>
      <c r="R11" s="248"/>
      <c r="S11" s="248"/>
    </row>
    <row r="12" spans="1:19" s="139" customFormat="1" ht="12.75">
      <c r="A12" s="179" t="s">
        <v>334</v>
      </c>
      <c r="B12" s="306" t="s">
        <v>372</v>
      </c>
      <c r="C12" s="295" t="s">
        <v>329</v>
      </c>
      <c r="D12" s="307" t="s">
        <v>202</v>
      </c>
      <c r="E12" s="300">
        <v>0.4888889</v>
      </c>
      <c r="F12" s="256">
        <v>18.02</v>
      </c>
      <c r="G12" s="182">
        <f>E12*F12</f>
        <v>8.81</v>
      </c>
      <c r="J12" s="140"/>
      <c r="K12" s="248"/>
      <c r="L12" s="248"/>
      <c r="M12" s="248"/>
      <c r="N12" s="248"/>
      <c r="O12" s="248"/>
      <c r="P12" s="248"/>
      <c r="Q12" s="248"/>
      <c r="R12" s="248"/>
      <c r="S12" s="248"/>
    </row>
    <row r="13" spans="1:19" s="139" customFormat="1" ht="13.5" thickBot="1">
      <c r="A13" s="179" t="s">
        <v>335</v>
      </c>
      <c r="B13" s="308" t="s">
        <v>373</v>
      </c>
      <c r="C13" s="309" t="s">
        <v>515</v>
      </c>
      <c r="D13" s="310" t="s">
        <v>374</v>
      </c>
      <c r="E13" s="302">
        <v>1.0533333</v>
      </c>
      <c r="F13" s="315">
        <v>8.41</v>
      </c>
      <c r="G13" s="316">
        <f>E13*F13</f>
        <v>8.86</v>
      </c>
      <c r="J13" s="140">
        <f>F13*1.2247</f>
        <v>10.3</v>
      </c>
      <c r="K13" s="248"/>
      <c r="L13" s="248"/>
      <c r="M13" s="248"/>
      <c r="N13" s="248"/>
      <c r="O13" s="248"/>
      <c r="P13" s="248"/>
      <c r="Q13" s="248"/>
      <c r="R13" s="248"/>
      <c r="S13" s="248"/>
    </row>
    <row r="14" spans="1:19" s="139" customFormat="1" ht="13.5" thickBot="1">
      <c r="A14" s="179"/>
      <c r="B14" s="306"/>
      <c r="C14" s="311"/>
      <c r="D14" s="305"/>
      <c r="E14" s="303"/>
      <c r="F14" s="321" t="s">
        <v>2</v>
      </c>
      <c r="G14" s="317">
        <f>SUM(G10:G13)</f>
        <v>32.3</v>
      </c>
      <c r="J14" s="140"/>
      <c r="K14" s="248"/>
      <c r="L14" s="248"/>
      <c r="M14" s="248"/>
      <c r="N14" s="248"/>
      <c r="O14" s="248"/>
      <c r="P14" s="248"/>
      <c r="Q14" s="248"/>
      <c r="R14" s="248"/>
      <c r="S14" s="248"/>
    </row>
    <row r="15" spans="1:19" s="139" customFormat="1" ht="12.75">
      <c r="A15" s="312"/>
      <c r="B15" s="312"/>
      <c r="C15" s="318"/>
      <c r="D15" s="313"/>
      <c r="E15" s="301"/>
      <c r="F15" s="314"/>
      <c r="G15" s="319"/>
      <c r="J15" s="140"/>
      <c r="K15" s="248"/>
      <c r="L15" s="248"/>
      <c r="M15" s="248"/>
      <c r="N15" s="248"/>
      <c r="O15" s="248"/>
      <c r="P15" s="248"/>
      <c r="Q15" s="248"/>
      <c r="R15" s="248"/>
      <c r="S15" s="248"/>
    </row>
    <row r="16" spans="1:19" s="139" customFormat="1" ht="12.75">
      <c r="A16" s="312"/>
      <c r="B16" s="312"/>
      <c r="C16" s="318"/>
      <c r="D16" s="313"/>
      <c r="E16" s="301"/>
      <c r="F16" s="314"/>
      <c r="G16" s="319"/>
      <c r="J16" s="140"/>
      <c r="K16" s="248"/>
      <c r="L16" s="248"/>
      <c r="M16" s="248" t="s">
        <v>36</v>
      </c>
      <c r="N16" s="248"/>
      <c r="O16" s="248"/>
      <c r="P16" s="248"/>
      <c r="Q16" s="248"/>
      <c r="R16" s="248"/>
      <c r="S16" s="248"/>
    </row>
    <row r="17" spans="1:10" ht="11.25" customHeight="1">
      <c r="A17" s="117"/>
      <c r="B17" s="117"/>
      <c r="C17" s="117"/>
      <c r="D17" s="117"/>
      <c r="E17" s="117"/>
      <c r="F17" s="117"/>
      <c r="G17" s="117"/>
      <c r="J17" s="95">
        <f aca="true" t="shared" si="0" ref="J17:J24">F17*1.2247</f>
        <v>0</v>
      </c>
    </row>
    <row r="18" spans="1:10" ht="11.25" customHeight="1">
      <c r="A18" s="117"/>
      <c r="B18" s="592"/>
      <c r="C18" s="592"/>
      <c r="D18" s="117"/>
      <c r="E18" s="592" t="s">
        <v>199</v>
      </c>
      <c r="F18" s="592"/>
      <c r="G18" s="117"/>
      <c r="J18" s="95">
        <f t="shared" si="0"/>
        <v>0</v>
      </c>
    </row>
    <row r="19" spans="1:10" ht="12.75">
      <c r="A19" s="150"/>
      <c r="B19" s="683" t="s">
        <v>198</v>
      </c>
      <c r="C19" s="683"/>
      <c r="D19" s="150"/>
      <c r="E19" s="643" t="s">
        <v>87</v>
      </c>
      <c r="F19" s="643"/>
      <c r="G19" s="150"/>
      <c r="J19" s="95">
        <f t="shared" si="0"/>
        <v>0</v>
      </c>
    </row>
    <row r="20" spans="1:10" ht="12.75">
      <c r="A20" s="59"/>
      <c r="B20" s="59"/>
      <c r="C20" s="85"/>
      <c r="D20" s="59"/>
      <c r="E20" s="59"/>
      <c r="F20" s="59"/>
      <c r="G20" s="59"/>
      <c r="J20" s="95">
        <f t="shared" si="0"/>
        <v>0</v>
      </c>
    </row>
    <row r="21" spans="1:10" ht="12.75">
      <c r="A21" s="59"/>
      <c r="B21" s="59"/>
      <c r="C21" s="85"/>
      <c r="D21" s="59"/>
      <c r="E21" s="59"/>
      <c r="F21" s="59"/>
      <c r="G21" s="59"/>
      <c r="J21" s="95">
        <f t="shared" si="0"/>
        <v>0</v>
      </c>
    </row>
    <row r="22" spans="1:10" ht="11.25" customHeight="1">
      <c r="A22" s="117"/>
      <c r="B22" s="592"/>
      <c r="C22" s="592"/>
      <c r="D22" s="117"/>
      <c r="E22" s="589"/>
      <c r="F22" s="589"/>
      <c r="G22" s="117"/>
      <c r="J22" s="95">
        <f t="shared" si="0"/>
        <v>0</v>
      </c>
    </row>
    <row r="23" spans="1:10" ht="12.75">
      <c r="A23" s="150"/>
      <c r="B23" s="683" t="s">
        <v>88</v>
      </c>
      <c r="C23" s="683"/>
      <c r="D23" s="150"/>
      <c r="E23" s="643"/>
      <c r="F23" s="643"/>
      <c r="G23" s="150"/>
      <c r="J23" s="95">
        <f t="shared" si="0"/>
        <v>0</v>
      </c>
    </row>
    <row r="24" ht="12" customHeight="1">
      <c r="J24" s="95">
        <f t="shared" si="0"/>
        <v>0</v>
      </c>
    </row>
    <row r="25" ht="11.25" customHeight="1"/>
    <row r="26" ht="12" customHeight="1"/>
    <row r="27" ht="13.5" customHeight="1"/>
    <row r="28" ht="4.5" customHeight="1"/>
  </sheetData>
  <sheetProtection/>
  <mergeCells count="16">
    <mergeCell ref="B22:C22"/>
    <mergeCell ref="E22:F22"/>
    <mergeCell ref="B23:C23"/>
    <mergeCell ref="E23:F23"/>
    <mergeCell ref="A6:G6"/>
    <mergeCell ref="A7:G7"/>
    <mergeCell ref="B18:C18"/>
    <mergeCell ref="E18:F18"/>
    <mergeCell ref="B19:C19"/>
    <mergeCell ref="E19:F19"/>
    <mergeCell ref="A1:B1"/>
    <mergeCell ref="C1:G1"/>
    <mergeCell ref="A2:G2"/>
    <mergeCell ref="A3:G3"/>
    <mergeCell ref="A5:D5"/>
    <mergeCell ref="E5:G5"/>
  </mergeCells>
  <printOptions horizontalCentered="1"/>
  <pageMargins left="0.3937007874015748" right="0.3937007874015748" top="0.3937007874015748" bottom="0.3937007874015748" header="0" footer="0"/>
  <pageSetup horizontalDpi="360" verticalDpi="360" orientation="portrait" paperSize="9" scale="73" r:id="rId2"/>
  <headerFooter alignWithMargins="0">
    <oddHeader>&amp;R
 &amp;P de &amp;N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erikas</dc:creator>
  <cp:keywords/>
  <dc:description/>
  <cp:lastModifiedBy>Usuário do Windows</cp:lastModifiedBy>
  <cp:lastPrinted>2023-03-30T11:04:55Z</cp:lastPrinted>
  <dcterms:created xsi:type="dcterms:W3CDTF">1998-10-30T18:34:56Z</dcterms:created>
  <dcterms:modified xsi:type="dcterms:W3CDTF">2023-04-05T18:38:40Z</dcterms:modified>
  <cp:category/>
  <cp:version/>
  <cp:contentType/>
  <cp:contentStatus/>
</cp:coreProperties>
</file>