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8445"/>
  </bookViews>
  <sheets>
    <sheet name="Planilha Orcamentaria" sheetId="5" r:id="rId1"/>
    <sheet name="Memoria de calculo" sheetId="9" r:id="rId2"/>
    <sheet name="CRONOGRAMA FISICO FINANCEIRO" sheetId="8" r:id="rId3"/>
    <sheet name="BDI" sheetId="10" r:id="rId4"/>
  </sheets>
  <definedNames>
    <definedName name="_xlnm.Print_Area" localSheetId="2">'CRONOGRAMA FISICO FINANCEIRO'!$A$1:$K$25</definedName>
    <definedName name="_xlnm.Print_Area" localSheetId="1">'Memoria de calculo'!$A$1:$E$35</definedName>
    <definedName name="_xlnm.Print_Area" localSheetId="0">'Planilha Orcamentaria'!$A$1:$H$45</definedName>
    <definedName name="_xlnm.Print_Titles" localSheetId="1">'Memoria de calculo'!$9:$9</definedName>
  </definedNames>
  <calcPr calcId="144525"/>
  <fileRecoveryPr autoRecover="0"/>
</workbook>
</file>

<file path=xl/calcChain.xml><?xml version="1.0" encoding="utf-8"?>
<calcChain xmlns="http://schemas.openxmlformats.org/spreadsheetml/2006/main">
  <c r="E23" i="5" l="1"/>
  <c r="J53" i="9" l="1"/>
  <c r="E19" i="9" s="1"/>
  <c r="E24" i="9" l="1"/>
  <c r="E18" i="9"/>
  <c r="G22" i="5"/>
  <c r="F12" i="9"/>
  <c r="E22" i="5" l="1"/>
  <c r="H22" i="5" s="1"/>
  <c r="E12" i="9"/>
  <c r="K12" i="9" l="1"/>
  <c r="E24" i="10" l="1"/>
  <c r="E23" i="10"/>
  <c r="E26" i="9"/>
  <c r="E30" i="5" s="1"/>
  <c r="E21" i="9"/>
  <c r="E22" i="9" s="1"/>
  <c r="F13" i="9"/>
  <c r="G17" i="5"/>
  <c r="H17" i="5" s="1"/>
  <c r="G30" i="5"/>
  <c r="G23" i="5"/>
  <c r="G24" i="5"/>
  <c r="G25" i="5"/>
  <c r="G26" i="5"/>
  <c r="G27" i="5"/>
  <c r="G15" i="5"/>
  <c r="G18" i="5"/>
  <c r="H18" i="5" s="1"/>
  <c r="G14" i="5"/>
  <c r="H14" i="5" s="1"/>
  <c r="G21" i="5"/>
  <c r="H21" i="5" s="1"/>
  <c r="E25" i="5" l="1"/>
  <c r="H25" i="5" s="1"/>
  <c r="E27" i="5"/>
  <c r="H27" i="5" s="1"/>
  <c r="E25" i="10"/>
  <c r="E24" i="5"/>
  <c r="H24" i="5" s="1"/>
  <c r="H30" i="5"/>
  <c r="H31" i="5" s="1"/>
  <c r="E14" i="8" s="1"/>
  <c r="E23" i="9"/>
  <c r="E26" i="5" s="1"/>
  <c r="H26" i="5" s="1"/>
  <c r="G6" i="9"/>
  <c r="B49" i="9" l="1"/>
  <c r="F14" i="8"/>
  <c r="C52" i="9"/>
  <c r="E15" i="5" l="1"/>
  <c r="H15" i="5" s="1"/>
  <c r="B50" i="9"/>
  <c r="E20" i="9" s="1"/>
  <c r="H23" i="5"/>
  <c r="K18" i="5"/>
  <c r="H28" i="5" l="1"/>
  <c r="I16" i="5" s="1"/>
  <c r="E12" i="8" l="1"/>
  <c r="H16" i="5" l="1"/>
  <c r="H19" i="5" s="1"/>
  <c r="H32" i="5" s="1"/>
  <c r="F12" i="8"/>
  <c r="E10" i="8" l="1"/>
  <c r="G16" i="5"/>
  <c r="E16" i="8" l="1"/>
  <c r="F10" i="8"/>
  <c r="F16" i="8" s="1"/>
  <c r="F15" i="8" l="1"/>
  <c r="E11" i="8"/>
  <c r="E9" i="8"/>
  <c r="E13" i="8"/>
  <c r="E15" i="8" l="1"/>
</calcChain>
</file>

<file path=xl/sharedStrings.xml><?xml version="1.0" encoding="utf-8"?>
<sst xmlns="http://schemas.openxmlformats.org/spreadsheetml/2006/main" count="249" uniqueCount="182">
  <si>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</si>
  <si>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</si>
  <si>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</si>
  <si>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</si>
  <si>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</si>
  <si>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</si>
  <si>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</si>
  <si>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</si>
  <si>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</si>
  <si>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</si>
  <si>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</si>
  <si>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 xml:space="preserve">FORMA DE EXECUÇÃO: </t>
  </si>
  <si>
    <t>PREÇO UNITÁRIO S/ LDI</t>
  </si>
  <si>
    <t>PREÇO UNITÁRIO C/ LDI</t>
  </si>
  <si>
    <t>1.1</t>
  </si>
  <si>
    <t>IIO-001</t>
  </si>
  <si>
    <t>INSTALAÇÕES INICIAIS DA OBRA</t>
  </si>
  <si>
    <t>1.2</t>
  </si>
  <si>
    <t>IIO-PLA-005</t>
  </si>
  <si>
    <t>OBR-001</t>
  </si>
  <si>
    <t>OBRAS VIÁRIAS</t>
  </si>
  <si>
    <t>2.1</t>
  </si>
  <si>
    <t>OBR-VIA-435</t>
  </si>
  <si>
    <t>OBR-VIA-165</t>
  </si>
  <si>
    <t>OBR-VIA-160</t>
  </si>
  <si>
    <t>DRE-001</t>
  </si>
  <si>
    <t>TOTAL GERAL DA OBRA</t>
  </si>
  <si>
    <t xml:space="preserve">FOLHA Nº: </t>
  </si>
  <si>
    <t>PREFEITURA: PREFEITURA MUNICIPAL DE CORAÇÃO DE JESUS</t>
  </si>
  <si>
    <t>PRAZO DE EXECUÇÃO: 06 MESES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</si>
  <si>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</si>
  <si>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unid.</t>
  </si>
  <si>
    <t>m²</t>
  </si>
  <si>
    <t>1.3</t>
  </si>
  <si>
    <t>MOB-DES-020</t>
  </si>
  <si>
    <t>MOBILIZAÇÃO E DESMOBILIZAÇÃO DE OBRA - PARA OBRAS EXECUTADAS EM CENTROS URBANOS OU PRÓXIMOS DE CENTROS URBANOS - 0,5% DO TOTAL</t>
  </si>
  <si>
    <t>%</t>
  </si>
  <si>
    <t>1.4</t>
  </si>
  <si>
    <t>1.0</t>
  </si>
  <si>
    <t>2.0</t>
  </si>
  <si>
    <t>2.1.2</t>
  </si>
  <si>
    <t>2.1.4</t>
  </si>
  <si>
    <t>2.1.5</t>
  </si>
  <si>
    <t>2.1.7</t>
  </si>
  <si>
    <t>2.1.8</t>
  </si>
  <si>
    <t>2.1.10</t>
  </si>
  <si>
    <t>m³</t>
  </si>
  <si>
    <t>m³xKm</t>
  </si>
  <si>
    <t xml:space="preserve">TRANSPORTE DE MATERIAL DE JAZIDA PARA CONSERVAÇÃO.
DISTÂNCIA MÉDIA DE TRANSPORTE DE 10,10 A 15,00 KM </t>
  </si>
  <si>
    <t>TxKm</t>
  </si>
  <si>
    <t>2.2.0</t>
  </si>
  <si>
    <t>SERVIÇOS COMPLEMENTARES - DRENAGEM</t>
  </si>
  <si>
    <t>2.2.1</t>
  </si>
  <si>
    <t>DRE-SAR-025</t>
  </si>
  <si>
    <t>m</t>
  </si>
  <si>
    <t>LOCAL:  TRECHOS DE RUAS URBANAS DE CORAÇÃO DE JESUS</t>
  </si>
  <si>
    <t>( X )</t>
  </si>
  <si>
    <t xml:space="preserve"> SUB TOTAL</t>
  </si>
  <si>
    <t>PREFEITURA MUNICIPAL DE CORAÇÃO DE JESUS
ESTADO DE MINAS GERAIS</t>
  </si>
  <si>
    <t>CRONOGRAMA FÍSICO-FINANCEIRO</t>
  </si>
  <si>
    <t>ETAPAS/DESCRIÇÃO</t>
  </si>
  <si>
    <t>FÍSICO/ FINANCEIRO</t>
  </si>
  <si>
    <t>TOTAL  ETAPAS</t>
  </si>
  <si>
    <t>MÊS 1</t>
  </si>
  <si>
    <t>Físico %</t>
  </si>
  <si>
    <t>Financeiro</t>
  </si>
  <si>
    <t>TOTAL</t>
  </si>
  <si>
    <t xml:space="preserve"> </t>
  </si>
  <si>
    <t>Observações:</t>
  </si>
  <si>
    <t>PREFEITURA:PREFEITURA MUNICIPAL DE CORAÇÃO DE JESUS</t>
  </si>
  <si>
    <t>OBRA: PAVIMENTAÇÃO DE VIAS PUBLICAS EM PMF - ESPESSURA 3,00cm</t>
  </si>
  <si>
    <t>OBRA:  PAVIMENTAÇÃO DE VIAS PUBLICAS EM PMF - ESPESSURA 3,00cm</t>
  </si>
  <si>
    <t>LOCAL: TRECHOS DE RUAS URBANAS DE CORAÇÃO DE JESUS</t>
  </si>
  <si>
    <t>PRAZO DA OBRA:06 MESES</t>
  </si>
  <si>
    <t>CREA-MG 201739/D</t>
  </si>
  <si>
    <t>JOSÉ RAMOS LAFETA NETO</t>
  </si>
  <si>
    <t>ROBSON ADALBERTO MOTA DIAS</t>
  </si>
  <si>
    <t>PREFEITO MUNICIPAL</t>
  </si>
  <si>
    <t>ENGENHEIRO CIVIL</t>
  </si>
  <si>
    <t xml:space="preserve">EXECUÇÃO E APLICAÇÃO DE CONCRETO ASFÁLTICO PREMISTURADO À FRIO (PMF), EM BETONEIRA, INCLUINDO
FORNECIMENTO E TRANSPORTE DOS AGREGADOS E MATERIAL
BETUMINOSO, INCLUSIVE TRANSPORTE DA MASSA ASFÁLTICA ATÉ A
PISTA
</t>
  </si>
  <si>
    <t>BANHEIRO QUÍMICO 110 X 120 X 230 CM COM MANUTENÇÃO</t>
  </si>
  <si>
    <t>IIO-SAN-005</t>
  </si>
  <si>
    <t>MÊS</t>
  </si>
  <si>
    <t>MEMORIA DE CALCULO DE QUANTITATIVOS</t>
  </si>
  <si>
    <t>PREFEITURA MUNICIPAL DE CORAÇÃO DE JESUS</t>
  </si>
  <si>
    <t>FORMULAS</t>
  </si>
  <si>
    <t>1.1.1</t>
  </si>
  <si>
    <t>1.1.2</t>
  </si>
  <si>
    <t>1.1.3</t>
  </si>
  <si>
    <t>Mobilização e desmobilização de obra em centros urbanos ou próximos de centros urbanos</t>
  </si>
  <si>
    <t>VERBA DE MOBILIZAÇÃO E DESMOBILIZAÇÃO DE OBRA (0,5% DO RECURSO TOTAL)</t>
  </si>
  <si>
    <t>1.1.4</t>
  </si>
  <si>
    <t>2.1.0</t>
  </si>
  <si>
    <t>AREA PISTA</t>
  </si>
  <si>
    <t>MEIO FIO</t>
  </si>
  <si>
    <t>COMPRIMENTO</t>
  </si>
  <si>
    <t>AREA TOTAL</t>
  </si>
  <si>
    <t>2.1.9</t>
  </si>
  <si>
    <t>SERVIÇOS COMPLEMENTARES</t>
  </si>
  <si>
    <t>Coração de Jesus/MG,17 de Janeiro de 2020</t>
  </si>
  <si>
    <t>_______________________________________</t>
  </si>
  <si>
    <t>JOSÉ RAMOS LAFETÁ NETO</t>
  </si>
  <si>
    <t xml:space="preserve"> CREA - MG-201739/D</t>
  </si>
  <si>
    <t>COMPOSIÇÃO DE LDI</t>
  </si>
  <si>
    <t>OBRA:</t>
  </si>
  <si>
    <t xml:space="preserve"> PAVIMENTAÇÃO DE VIAS PUBLICAS EM PMF - ESPESSURA 3,00 CM - CORAÇÃO DE JESUS</t>
  </si>
  <si>
    <t>CÁLCULO DE COMPOSIÇÃO DE LDI</t>
  </si>
  <si>
    <t>LDI (conforme Ácordão Nº 2622/13)- Construção de Edificios</t>
  </si>
  <si>
    <t>DISCRIMINAÇÃO DAS PARCELAS</t>
  </si>
  <si>
    <t>SIGLA</t>
  </si>
  <si>
    <t>Administração Central</t>
  </si>
  <si>
    <t>AC</t>
  </si>
  <si>
    <t>Lucro</t>
  </si>
  <si>
    <t>L</t>
  </si>
  <si>
    <t>Despesas Finaceiras</t>
  </si>
  <si>
    <t>DF</t>
  </si>
  <si>
    <t>Seguros</t>
  </si>
  <si>
    <t>S</t>
  </si>
  <si>
    <t>Garantias</t>
  </si>
  <si>
    <t>G</t>
  </si>
  <si>
    <t>Risco</t>
  </si>
  <si>
    <t>R</t>
  </si>
  <si>
    <t>Tributos</t>
  </si>
  <si>
    <t>I</t>
  </si>
  <si>
    <t>ISS</t>
  </si>
  <si>
    <t>PIS</t>
  </si>
  <si>
    <t>CONFINS</t>
  </si>
  <si>
    <t>INSS</t>
  </si>
  <si>
    <t>CPRB</t>
  </si>
  <si>
    <t>FÓRMULA DO BDI =</t>
  </si>
  <si>
    <t>(1+(AC+S+G+R))*(1+DF)*(1+L)</t>
  </si>
  <si>
    <t>(1 - (I + CPRB)</t>
  </si>
  <si>
    <t xml:space="preserve">BDI(numerador) = </t>
  </si>
  <si>
    <t xml:space="preserve">BDI(denominador) = </t>
  </si>
  <si>
    <t xml:space="preserve">BDI TOTAL = </t>
  </si>
  <si>
    <t>Coração de Jesus/MG,17 de Janeiro de 2020.</t>
  </si>
  <si>
    <t xml:space="preserve">                    </t>
  </si>
  <si>
    <t>_________________________________________</t>
  </si>
  <si>
    <t>Custo Direto</t>
  </si>
  <si>
    <t>CD</t>
  </si>
  <si>
    <t>Seguros, Garantias e Risco</t>
  </si>
  <si>
    <t>ISS= 5 %</t>
  </si>
  <si>
    <t>1  BANHEIRO QUÍMICO POR TEMPO DE DURAÇÃO DA OBRA : 06 MÊSES</t>
  </si>
  <si>
    <t>1.1.5</t>
  </si>
  <si>
    <t>1.5</t>
  </si>
  <si>
    <t>-</t>
  </si>
  <si>
    <t>IMPRIMAÇÃO (EXECUÇÃO E FORNECIMENTO DO MATERIAL BETUMINOSO, EXCLUSIVE TRANSPORTE DO MATERIAL BETUMINOSO)</t>
  </si>
  <si>
    <t xml:space="preserve">TRANSPORTE DE MATERIAL DE QUALQUER NATUREZA. DISTÂNCIA MÉDIA DE TRANSPORTE &gt;= 50,10 KM </t>
  </si>
  <si>
    <t>PINTURA DE LIGAÇÃO (EXECUÇÃO E FORNECIMENTO DO MATERIAL BETUMINOSO, EXCLUSIVE TRANSPORTE DO MATERIAL BETUMINOSO)</t>
  </si>
  <si>
    <t>MEIO-FIO COM SARJETA, EXECUTADO C/EXTRUSORA (SARJETA 30X8CM MEIO-FIO 15X10CM X H=23CM), INCLUI ESCAVAÇÃO E ACERTO FAIXA 0,45M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</si>
  <si>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 ANTICORROSIVO E TINTA AUTOMOTIVA, CONFORME MANUAL DE IDENTIDADE VISUAL DO GOVERNO DE MINAS</t>
  </si>
  <si>
    <t>DATA:30/07/2020</t>
  </si>
  <si>
    <t xml:space="preserve">1 PLACA DE OBRA TAMANHO PADRÃO -&gt; 3,00m X 1,50m </t>
  </si>
  <si>
    <t>SOMATÓRIO DE MEIO-FIO COM SARJETA+ AMARAÇÃO FINAL COM SARJETA: 542,7 m + 521,62 m + 55,77m +3,07m+2,91m+3,03m
+3,24m+2,47m+3,42m+3,61m+2,67m</t>
  </si>
  <si>
    <r>
      <t xml:space="preserve">LOCAL: </t>
    </r>
    <r>
      <rPr>
        <sz val="10"/>
        <color indexed="8"/>
        <rFont val="Arial"/>
        <family val="2"/>
      </rPr>
      <t xml:space="preserve">  TRECHOS DE RUAS URBANAS DE CORAÇÃO DE JESUS</t>
    </r>
  </si>
  <si>
    <t>DRENAGEM  -RUA OURO, DIAMANTE II</t>
  </si>
  <si>
    <t xml:space="preserve">LOCAÇÃO TOPOGRÁFICA ATE 20 PONTOS </t>
  </si>
  <si>
    <t xml:space="preserve">LOC-TOP-005 </t>
  </si>
  <si>
    <t>UNID.</t>
  </si>
  <si>
    <t>RUA JOÃO LAFETA, BAIRRO ALTO</t>
  </si>
  <si>
    <t>OBRAS VIÁRIAS - RUA JOÃO LAFETA, BAIRRO ALTO</t>
  </si>
  <si>
    <t xml:space="preserve">RASPAGEM E LIMPEZA DE VEGETAÇÃO COM REGULARIZAÇÃO DO
TERRENO </t>
  </si>
  <si>
    <t>VOLUME ATERRO BURACO</t>
  </si>
  <si>
    <t>RO-40114</t>
  </si>
  <si>
    <t>REGIÃO/MÊS DE REFERÊNCIA:  SETOP/NORTE 01/2020 (DESONERADO) - SINAPI 06/2020 (DESONERADO)</t>
  </si>
  <si>
    <t>LOCAÇÃO DE PONTO TOPOGRAFICO A CADA 20 METROS DE VIA ;89,72m /20m</t>
  </si>
  <si>
    <t xml:space="preserve">LARGURA PISTA ROLAMENTO VEZES COMPRIMENTO MAIS  ACABAMENTO CURVA DE CRUZAMENTO :89,72mx10,96m
</t>
  </si>
  <si>
    <t>ÁREA DE APLICAÇÃO DO MATERIAL VEZES O PESO POR M² (CM30 + RR1C) VEZES A DISTÂNCIA DA REFINARIA ATÉ A OBRA-&gt; (956,33m²) x (0,0012t/m² + 0,0005t/m²) x (434km + 86km)</t>
  </si>
  <si>
    <t>ÁREA DE APLICAÇÃO DO MATERIAL VEZES ESPESSURA DA PAVIMENTAÇÃO -&gt; (953,33m² x 0,04m)</t>
  </si>
  <si>
    <t>OBRA: PAVIMENTAÇÃO DE VIAS PUBLICAS EM PMF - ESPESSURA 4,00 CM</t>
  </si>
  <si>
    <t>VOLUME DE MATERIAL DA BASE VEZES DMT -&gt; 7,22m³ x 11,8km</t>
  </si>
  <si>
    <t>VALOR DO CONVÊNIO:R$46.001,39</t>
  </si>
  <si>
    <t>4720</t>
  </si>
  <si>
    <t>PEDRA BRITADA N. 0, OU PEDRISCO (4,8 A 9,5 MM) POSTO PEDREIRA/FORNECEDOR, SEM M3 89,40
FRETE</t>
  </si>
  <si>
    <t xml:space="preserve">BARRACÃO DE OBRA PARA DEPÓSITO E FERRAMENTARIA TIPO-I,
ÁREA INTERNA 14,52M2, EM CHAPA DE COMPENSADO RESINADO,
INCLUSIVE MOBILIÁRIO (OBRA DE PEQUENO PORTE, EFETIVO ATÉ 30
HOMENS), PADRÃO DEER-MG
</t>
  </si>
  <si>
    <t>1  BARRACÃO</t>
  </si>
  <si>
    <t xml:space="preserve">IIO-BAR-015
</t>
  </si>
  <si>
    <t>BARRACÃO DE OBRA PARA DEPÓSITO E FERRAMENTARIA TIPO-I, ÁREA INTERNA 14,52M2, EM CHAPA DE COMPENSADO RESINADO, INCLUSIVE MOBILIÁRIO (OBRA DE PEQUENO PORTE, EFETIVO ATÉ 30 HOMENS), PADRÃO DEER-MG</t>
  </si>
  <si>
    <t>UNID</t>
  </si>
  <si>
    <t xml:space="preserve">OBR-VIA-190 </t>
  </si>
  <si>
    <t xml:space="preserve">PRÉ-MISTURADO A FRIO - PMF (EXECUÇÃO, INCLUINDO USINAGEM, APLICAÇÃO, ESPALHAMENTO E COMPACTAÇÃO, FORNECIMENTO DOS AGREGADOS E MATERIAL BETUMINOSO, EXCLUI TRANSPORTE DOS AGREGADOS E DO MATERIAL BETUMINOSO ATÉ USINA E DA MASSA PRONTA ATÉ A PISTA)
</t>
  </si>
  <si>
    <t xml:space="preserve"> AREA DE REGULARIZAÇÃO VEZES ESPESSURA (PROFUNDIDADE) DE ESCAVAÇÃO-&gt; 48,12m² x 0,20m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</si>
</sst>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#,##0.00\ ;&quot; (&quot;#,##0.00\);&quot; -&quot;#\ ;@\ 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3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1" fillId="0" borderId="0" applyFill="0" applyBorder="0" applyAlignment="0" applyProtection="0"/>
    <xf numFmtId="164" fontId="1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340">
    <xf numFmtId="0" fontId="0" fillId="0" borderId="0" xfId="0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4" fontId="4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0" fontId="6" fillId="0" borderId="4" xfId="8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5" fontId="9" fillId="0" borderId="0" xfId="0" applyNumberFormat="1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4" fontId="4" fillId="0" borderId="0" xfId="0" applyNumberFormat="1" applyFont="1" applyBorder="1"/>
    <xf numFmtId="0" fontId="0" fillId="0" borderId="0" xfId="0" applyFill="1"/>
    <xf numFmtId="0" fontId="11" fillId="0" borderId="0" xfId="0" applyFont="1" applyFill="1"/>
    <xf numFmtId="0" fontId="9" fillId="0" borderId="0" xfId="0" applyFont="1" applyFill="1"/>
    <xf numFmtId="0" fontId="10" fillId="0" borderId="6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top" wrapText="1"/>
    </xf>
    <xf numFmtId="10" fontId="15" fillId="2" borderId="11" xfId="0" applyNumberFormat="1" applyFont="1" applyFill="1" applyBorder="1" applyAlignment="1">
      <alignment vertical="top" wrapText="1"/>
    </xf>
    <xf numFmtId="10" fontId="16" fillId="2" borderId="11" xfId="10" applyNumberFormat="1" applyFont="1" applyFill="1" applyBorder="1" applyAlignment="1">
      <alignment vertical="top" wrapText="1"/>
    </xf>
    <xf numFmtId="10" fontId="16" fillId="2" borderId="11" xfId="0" applyNumberFormat="1" applyFont="1" applyFill="1" applyBorder="1" applyAlignment="1">
      <alignment vertical="top" wrapText="1"/>
    </xf>
    <xf numFmtId="10" fontId="16" fillId="2" borderId="12" xfId="0" applyNumberFormat="1" applyFont="1" applyFill="1" applyBorder="1" applyAlignment="1">
      <alignment vertical="top" wrapText="1"/>
    </xf>
    <xf numFmtId="49" fontId="15" fillId="2" borderId="13" xfId="0" applyNumberFormat="1" applyFont="1" applyFill="1" applyBorder="1" applyAlignment="1">
      <alignment horizontal="center" vertical="top" wrapText="1"/>
    </xf>
    <xf numFmtId="4" fontId="15" fillId="2" borderId="13" xfId="0" applyNumberFormat="1" applyFont="1" applyFill="1" applyBorder="1" applyAlignment="1">
      <alignment vertical="top" wrapText="1"/>
    </xf>
    <xf numFmtId="4" fontId="15" fillId="2" borderId="14" xfId="0" applyNumberFormat="1" applyFont="1" applyFill="1" applyBorder="1" applyAlignment="1">
      <alignment vertical="top" wrapText="1"/>
    </xf>
    <xf numFmtId="49" fontId="17" fillId="2" borderId="15" xfId="0" applyNumberFormat="1" applyFont="1" applyFill="1" applyBorder="1" applyAlignment="1">
      <alignment horizontal="center" vertical="top" wrapText="1"/>
    </xf>
    <xf numFmtId="10" fontId="17" fillId="2" borderId="15" xfId="0" applyNumberFormat="1" applyFont="1" applyFill="1" applyBorder="1" applyAlignment="1">
      <alignment vertical="top" wrapText="1"/>
    </xf>
    <xf numFmtId="10" fontId="17" fillId="2" borderId="16" xfId="0" applyNumberFormat="1" applyFont="1" applyFill="1" applyBorder="1" applyAlignment="1">
      <alignment vertical="top" wrapText="1"/>
    </xf>
    <xf numFmtId="49" fontId="17" fillId="2" borderId="17" xfId="0" applyNumberFormat="1" applyFont="1" applyFill="1" applyBorder="1" applyAlignment="1">
      <alignment horizontal="center" vertical="top" wrapText="1"/>
    </xf>
    <xf numFmtId="165" fontId="17" fillId="2" borderId="17" xfId="0" applyNumberFormat="1" applyFont="1" applyFill="1" applyBorder="1" applyAlignment="1">
      <alignment vertical="top" wrapText="1"/>
    </xf>
    <xf numFmtId="165" fontId="17" fillId="2" borderId="18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1" fillId="2" borderId="0" xfId="0" applyFont="1" applyFill="1"/>
    <xf numFmtId="0" fontId="0" fillId="0" borderId="23" xfId="0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0" fillId="0" borderId="24" xfId="0" applyBorder="1" applyAlignment="1">
      <alignment vertical="center"/>
    </xf>
    <xf numFmtId="0" fontId="3" fillId="2" borderId="25" xfId="0" applyFont="1" applyFill="1" applyBorder="1"/>
    <xf numFmtId="0" fontId="2" fillId="0" borderId="24" xfId="0" applyFont="1" applyBorder="1" applyAlignment="1">
      <alignment vertical="center"/>
    </xf>
    <xf numFmtId="0" fontId="0" fillId="2" borderId="25" xfId="0" applyFill="1" applyBorder="1"/>
    <xf numFmtId="0" fontId="11" fillId="2" borderId="0" xfId="0" applyFont="1" applyFill="1" applyBorder="1"/>
    <xf numFmtId="0" fontId="0" fillId="2" borderId="24" xfId="0" applyFill="1" applyBorder="1"/>
    <xf numFmtId="0" fontId="1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4" fontId="15" fillId="2" borderId="13" xfId="0" applyNumberFormat="1" applyFont="1" applyFill="1" applyBorder="1" applyAlignment="1">
      <alignment horizontal="right" vertical="top" wrapText="1"/>
    </xf>
    <xf numFmtId="10" fontId="17" fillId="2" borderId="15" xfId="0" applyNumberFormat="1" applyFont="1" applyFill="1" applyBorder="1" applyAlignment="1">
      <alignment horizontal="right" vertical="top" wrapText="1"/>
    </xf>
    <xf numFmtId="165" fontId="17" fillId="2" borderId="17" xfId="0" applyNumberFormat="1" applyFont="1" applyFill="1" applyBorder="1" applyAlignment="1">
      <alignment horizontal="right" vertical="top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2" fontId="11" fillId="0" borderId="7" xfId="1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" fontId="11" fillId="0" borderId="30" xfId="0" applyNumberFormat="1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2" fontId="9" fillId="0" borderId="27" xfId="1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65" fontId="9" fillId="0" borderId="28" xfId="0" applyNumberFormat="1" applyFont="1" applyFill="1" applyBorder="1" applyAlignment="1">
      <alignment horizontal="distributed" vertical="center" wrapText="1"/>
    </xf>
    <xf numFmtId="0" fontId="9" fillId="0" borderId="31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" fontId="11" fillId="0" borderId="33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2" fontId="11" fillId="0" borderId="27" xfId="1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1" fillId="0" borderId="32" xfId="0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10" fontId="14" fillId="2" borderId="11" xfId="0" applyNumberFormat="1" applyFont="1" applyFill="1" applyBorder="1" applyAlignment="1">
      <alignment vertical="top" wrapText="1"/>
    </xf>
    <xf numFmtId="10" fontId="0" fillId="2" borderId="0" xfId="0" applyNumberFormat="1" applyFill="1"/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5" fillId="0" borderId="0" xfId="0" applyFont="1"/>
    <xf numFmtId="0" fontId="0" fillId="0" borderId="19" xfId="0" applyFill="1" applyBorder="1"/>
    <xf numFmtId="0" fontId="20" fillId="0" borderId="20" xfId="0" applyFont="1" applyFill="1" applyBorder="1" applyAlignment="1">
      <alignment horizontal="center" vertical="center"/>
    </xf>
    <xf numFmtId="4" fontId="20" fillId="0" borderId="21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/>
    <xf numFmtId="4" fontId="0" fillId="0" borderId="26" xfId="0" applyNumberFormat="1" applyFill="1" applyBorder="1" applyAlignment="1">
      <alignment horizontal="center"/>
    </xf>
    <xf numFmtId="4" fontId="10" fillId="0" borderId="26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49" fontId="15" fillId="0" borderId="40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2" fontId="9" fillId="0" borderId="5" xfId="10" applyNumberFormat="1" applyFont="1" applyFill="1" applyBorder="1" applyAlignment="1">
      <alignment horizontal="center" vertical="center" wrapText="1"/>
    </xf>
    <xf numFmtId="4" fontId="9" fillId="0" borderId="4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17" fillId="0" borderId="42" xfId="0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4" fontId="0" fillId="0" borderId="0" xfId="0" applyNumberFormat="1" applyFill="1" applyBorder="1"/>
    <xf numFmtId="4" fontId="0" fillId="0" borderId="0" xfId="0" applyNumberFormat="1" applyFill="1"/>
    <xf numFmtId="2" fontId="9" fillId="0" borderId="44" xfId="10" applyNumberFormat="1" applyFont="1" applyFill="1" applyBorder="1" applyAlignment="1">
      <alignment horizontal="center" vertical="center" wrapText="1"/>
    </xf>
    <xf numFmtId="4" fontId="9" fillId="0" borderId="45" xfId="0" applyNumberFormat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1" fillId="0" borderId="0" xfId="2"/>
    <xf numFmtId="1" fontId="3" fillId="0" borderId="47" xfId="7" applyNumberFormat="1" applyFont="1" applyBorder="1" applyAlignment="1">
      <alignment horizontal="center" vertical="center"/>
    </xf>
    <xf numFmtId="0" fontId="10" fillId="0" borderId="0" xfId="2" applyFont="1"/>
    <xf numFmtId="1" fontId="11" fillId="0" borderId="48" xfId="2" applyNumberFormat="1" applyFont="1" applyFill="1" applyBorder="1" applyAlignment="1">
      <alignment horizontal="center" vertical="center"/>
    </xf>
    <xf numFmtId="2" fontId="3" fillId="0" borderId="5" xfId="2" applyNumberFormat="1" applyFont="1" applyBorder="1" applyAlignment="1">
      <alignment horizontal="center"/>
    </xf>
    <xf numFmtId="2" fontId="11" fillId="0" borderId="5" xfId="2" applyNumberFormat="1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48" xfId="2" applyFont="1" applyFill="1" applyBorder="1" applyAlignment="1">
      <alignment vertical="center"/>
    </xf>
    <xf numFmtId="0" fontId="3" fillId="0" borderId="48" xfId="2" applyFont="1" applyFill="1" applyBorder="1" applyAlignment="1">
      <alignment horizontal="centerContinuous" vertical="center"/>
    </xf>
    <xf numFmtId="0" fontId="25" fillId="0" borderId="49" xfId="2" applyFont="1" applyBorder="1"/>
    <xf numFmtId="0" fontId="22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/>
    <xf numFmtId="0" fontId="9" fillId="0" borderId="0" xfId="2" applyFont="1" applyFill="1" applyBorder="1" applyAlignment="1"/>
    <xf numFmtId="0" fontId="17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2" fontId="4" fillId="0" borderId="5" xfId="1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0" fillId="2" borderId="25" xfId="0" applyFill="1" applyBorder="1" applyAlignment="1"/>
    <xf numFmtId="0" fontId="0" fillId="2" borderId="24" xfId="0" applyFill="1" applyBorder="1" applyAlignment="1"/>
    <xf numFmtId="0" fontId="3" fillId="2" borderId="53" xfId="0" applyFont="1" applyFill="1" applyBorder="1" applyAlignment="1">
      <alignment wrapText="1"/>
    </xf>
    <xf numFmtId="0" fontId="3" fillId="2" borderId="51" xfId="0" applyFont="1" applyFill="1" applyBorder="1" applyAlignment="1">
      <alignment wrapText="1"/>
    </xf>
    <xf numFmtId="0" fontId="3" fillId="2" borderId="52" xfId="0" applyFont="1" applyFill="1" applyBorder="1" applyAlignment="1">
      <alignment wrapText="1"/>
    </xf>
    <xf numFmtId="0" fontId="0" fillId="2" borderId="53" xfId="0" applyFill="1" applyBorder="1"/>
    <xf numFmtId="0" fontId="0" fillId="2" borderId="51" xfId="0" applyFill="1" applyBorder="1"/>
    <xf numFmtId="0" fontId="0" fillId="2" borderId="52" xfId="0" applyFill="1" applyBorder="1"/>
    <xf numFmtId="0" fontId="3" fillId="2" borderId="25" xfId="0" applyFont="1" applyFill="1" applyBorder="1" applyAlignment="1">
      <alignment wrapText="1"/>
    </xf>
    <xf numFmtId="0" fontId="16" fillId="2" borderId="24" xfId="0" applyFont="1" applyFill="1" applyBorder="1"/>
    <xf numFmtId="0" fontId="11" fillId="2" borderId="25" xfId="0" applyFont="1" applyFill="1" applyBorder="1"/>
    <xf numFmtId="0" fontId="18" fillId="2" borderId="25" xfId="0" applyFont="1" applyFill="1" applyBorder="1"/>
    <xf numFmtId="0" fontId="16" fillId="2" borderId="25" xfId="0" applyFont="1" applyFill="1" applyBorder="1"/>
    <xf numFmtId="0" fontId="0" fillId="2" borderId="71" xfId="0" applyFill="1" applyBorder="1"/>
    <xf numFmtId="0" fontId="0" fillId="2" borderId="23" xfId="0" applyFill="1" applyBorder="1"/>
    <xf numFmtId="0" fontId="0" fillId="2" borderId="23" xfId="0" applyFill="1" applyBorder="1" applyAlignment="1">
      <alignment wrapText="1"/>
    </xf>
    <xf numFmtId="0" fontId="0" fillId="2" borderId="70" xfId="0" applyFill="1" applyBorder="1"/>
    <xf numFmtId="2" fontId="1" fillId="0" borderId="7" xfId="10" applyNumberFormat="1" applyFont="1" applyFill="1" applyBorder="1" applyAlignment="1">
      <alignment horizontal="center" vertical="center" wrapText="1"/>
    </xf>
    <xf numFmtId="0" fontId="0" fillId="0" borderId="22" xfId="0" applyFill="1" applyBorder="1"/>
    <xf numFmtId="49" fontId="10" fillId="0" borderId="46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right"/>
    </xf>
    <xf numFmtId="4" fontId="3" fillId="4" borderId="0" xfId="0" applyNumberFormat="1" applyFont="1" applyFill="1"/>
    <xf numFmtId="0" fontId="3" fillId="4" borderId="0" xfId="0" applyFont="1" applyFill="1"/>
    <xf numFmtId="4" fontId="0" fillId="4" borderId="0" xfId="0" applyNumberFormat="1" applyFill="1"/>
    <xf numFmtId="4" fontId="3" fillId="4" borderId="0" xfId="0" applyNumberFormat="1" applyFont="1" applyFill="1" applyBorder="1"/>
    <xf numFmtId="0" fontId="3" fillId="4" borderId="0" xfId="0" applyFont="1" applyFill="1" applyBorder="1"/>
    <xf numFmtId="0" fontId="0" fillId="4" borderId="0" xfId="0" applyFill="1" applyBorder="1"/>
    <xf numFmtId="0" fontId="1" fillId="0" borderId="0" xfId="0" applyFont="1" applyFill="1"/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wrapText="1"/>
    </xf>
    <xf numFmtId="0" fontId="4" fillId="0" borderId="38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top"/>
    </xf>
    <xf numFmtId="0" fontId="6" fillId="0" borderId="56" xfId="0" applyFont="1" applyFill="1" applyBorder="1" applyAlignment="1">
      <alignment horizontal="left" vertical="top"/>
    </xf>
    <xf numFmtId="0" fontId="6" fillId="0" borderId="57" xfId="0" applyFont="1" applyFill="1" applyBorder="1" applyAlignment="1">
      <alignment horizontal="left" vertical="top"/>
    </xf>
    <xf numFmtId="0" fontId="6" fillId="0" borderId="4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43" xfId="0" applyFont="1" applyFill="1" applyBorder="1" applyAlignment="1">
      <alignment horizontal="left" vertical="top"/>
    </xf>
    <xf numFmtId="0" fontId="6" fillId="0" borderId="4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49" fontId="18" fillId="0" borderId="62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0" fontId="18" fillId="0" borderId="63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3" fillId="0" borderId="41" xfId="2" applyFont="1" applyBorder="1" applyAlignment="1">
      <alignment horizontal="left" vertical="center"/>
    </xf>
    <xf numFmtId="0" fontId="3" fillId="0" borderId="55" xfId="2" applyFont="1" applyBorder="1" applyAlignment="1">
      <alignment horizontal="center" vertical="top"/>
    </xf>
    <xf numFmtId="0" fontId="3" fillId="0" borderId="6" xfId="2" applyFont="1" applyBorder="1" applyAlignment="1">
      <alignment horizontal="center" vertical="top"/>
    </xf>
    <xf numFmtId="0" fontId="3" fillId="0" borderId="43" xfId="2" applyFont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/>
    </xf>
    <xf numFmtId="0" fontId="11" fillId="0" borderId="43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10" fontId="11" fillId="0" borderId="5" xfId="9" applyNumberFormat="1" applyFont="1" applyBorder="1" applyAlignment="1">
      <alignment horizontal="center"/>
    </xf>
    <xf numFmtId="10" fontId="11" fillId="0" borderId="41" xfId="9" applyNumberFormat="1" applyFont="1" applyBorder="1" applyAlignment="1">
      <alignment horizontal="center"/>
    </xf>
    <xf numFmtId="0" fontId="3" fillId="0" borderId="40" xfId="2" applyFont="1" applyBorder="1" applyAlignment="1">
      <alignment horizontal="center"/>
    </xf>
    <xf numFmtId="0" fontId="3" fillId="0" borderId="43" xfId="2" applyFont="1" applyBorder="1" applyAlignment="1">
      <alignment horizontal="center"/>
    </xf>
    <xf numFmtId="2" fontId="3" fillId="0" borderId="55" xfId="2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11" fillId="0" borderId="40" xfId="2" applyFont="1" applyBorder="1" applyAlignment="1">
      <alignment horizontal="center"/>
    </xf>
    <xf numFmtId="10" fontId="11" fillId="0" borderId="55" xfId="9" applyNumberFormat="1" applyFont="1" applyBorder="1" applyAlignment="1">
      <alignment horizontal="center"/>
    </xf>
    <xf numFmtId="10" fontId="11" fillId="0" borderId="2" xfId="9" applyNumberFormat="1" applyFont="1" applyBorder="1" applyAlignment="1">
      <alignment horizontal="center"/>
    </xf>
    <xf numFmtId="0" fontId="11" fillId="0" borderId="43" xfId="2" applyFont="1" applyBorder="1" applyAlignment="1">
      <alignment horizontal="right"/>
    </xf>
    <xf numFmtId="0" fontId="11" fillId="0" borderId="5" xfId="2" applyFont="1" applyBorder="1" applyAlignment="1">
      <alignment horizontal="right"/>
    </xf>
    <xf numFmtId="0" fontId="3" fillId="0" borderId="60" xfId="2" applyFont="1" applyBorder="1" applyAlignment="1">
      <alignment horizontal="center" vertical="center"/>
    </xf>
    <xf numFmtId="0" fontId="3" fillId="0" borderId="68" xfId="2" applyFont="1" applyBorder="1" applyAlignment="1">
      <alignment horizontal="center" vertical="center"/>
    </xf>
    <xf numFmtId="10" fontId="3" fillId="0" borderId="68" xfId="9" applyNumberFormat="1" applyFont="1" applyBorder="1" applyAlignment="1">
      <alignment horizontal="center" vertical="center"/>
    </xf>
    <xf numFmtId="10" fontId="3" fillId="0" borderId="69" xfId="9" applyNumberFormat="1" applyFont="1" applyBorder="1" applyAlignment="1">
      <alignment horizontal="center" vertical="center"/>
    </xf>
    <xf numFmtId="10" fontId="11" fillId="0" borderId="5" xfId="2" applyNumberFormat="1" applyFont="1" applyBorder="1" applyAlignment="1">
      <alignment horizontal="center"/>
    </xf>
    <xf numFmtId="10" fontId="11" fillId="0" borderId="41" xfId="2" applyNumberFormat="1" applyFont="1" applyBorder="1" applyAlignment="1">
      <alignment horizontal="center"/>
    </xf>
    <xf numFmtId="0" fontId="3" fillId="0" borderId="43" xfId="2" applyFont="1" applyBorder="1" applyAlignment="1">
      <alignment horizontal="center" vertical="center"/>
    </xf>
    <xf numFmtId="0" fontId="3" fillId="0" borderId="5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2" fontId="3" fillId="0" borderId="5" xfId="2" applyNumberFormat="1" applyFont="1" applyBorder="1" applyAlignment="1">
      <alignment horizontal="center"/>
    </xf>
    <xf numFmtId="2" fontId="3" fillId="0" borderId="41" xfId="2" applyNumberFormat="1" applyFont="1" applyBorder="1" applyAlignment="1">
      <alignment horizontal="center"/>
    </xf>
    <xf numFmtId="1" fontId="13" fillId="0" borderId="66" xfId="7" applyNumberFormat="1" applyFont="1" applyFill="1" applyBorder="1" applyAlignment="1">
      <alignment horizontal="center" vertical="center" wrapText="1"/>
    </xf>
    <xf numFmtId="1" fontId="13" fillId="0" borderId="1" xfId="7" applyNumberFormat="1" applyFont="1" applyFill="1" applyBorder="1" applyAlignment="1">
      <alignment horizontal="center" vertical="center" wrapText="1"/>
    </xf>
    <xf numFmtId="1" fontId="13" fillId="0" borderId="67" xfId="7" applyNumberFormat="1" applyFont="1" applyFill="1" applyBorder="1" applyAlignment="1">
      <alignment horizontal="center" vertical="center" wrapText="1"/>
    </xf>
    <xf numFmtId="1" fontId="3" fillId="0" borderId="66" xfId="7" applyNumberFormat="1" applyFont="1" applyBorder="1" applyAlignment="1">
      <alignment horizontal="center" vertical="center" wrapText="1"/>
    </xf>
    <xf numFmtId="1" fontId="3" fillId="0" borderId="1" xfId="7" applyNumberFormat="1" applyFont="1" applyBorder="1" applyAlignment="1">
      <alignment horizontal="center" vertical="center" wrapText="1"/>
    </xf>
    <xf numFmtId="1" fontId="3" fillId="0" borderId="67" xfId="7" applyNumberFormat="1" applyFont="1" applyBorder="1" applyAlignment="1">
      <alignment horizontal="center" vertical="center" wrapText="1"/>
    </xf>
    <xf numFmtId="1" fontId="3" fillId="0" borderId="20" xfId="7" applyNumberFormat="1" applyFont="1" applyBorder="1" applyAlignment="1">
      <alignment horizontal="center" vertical="center"/>
    </xf>
    <xf numFmtId="1" fontId="3" fillId="0" borderId="21" xfId="7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3" fillId="0" borderId="4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14">
    <cellStyle name="Moeda 2" xfId="1"/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_ESPINOSA-SES-ORCAMENTO-CRONOGRAMA-ABC-2012-11-06" xfId="7"/>
    <cellStyle name="Porcentagem" xfId="8" builtinId="5"/>
    <cellStyle name="Porcentagem 2" xfId="9"/>
    <cellStyle name="Vírgula" xfId="10" builtinId="3"/>
    <cellStyle name="Vírgula 2" xfId="11"/>
    <cellStyle name="Vírgula 3" xfId="12"/>
    <cellStyle name="Vírgula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43</xdr:row>
      <xdr:rowOff>114300</xdr:rowOff>
    </xdr:from>
    <xdr:to>
      <xdr:col>8</xdr:col>
      <xdr:colOff>0</xdr:colOff>
      <xdr:row>44</xdr:row>
      <xdr:rowOff>161925</xdr:rowOff>
    </xdr:to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47625" y="66655950"/>
          <a:ext cx="811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161925</xdr:rowOff>
        </xdr:from>
        <xdr:to>
          <xdr:col>2</xdr:col>
          <xdr:colOff>361950</xdr:colOff>
          <xdr:row>1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133350</xdr:rowOff>
        </xdr:from>
        <xdr:to>
          <xdr:col>1</xdr:col>
          <xdr:colOff>19050</xdr:colOff>
          <xdr:row>0</xdr:row>
          <xdr:rowOff>771525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2086535</xdr:colOff>
      <xdr:row>0</xdr:row>
      <xdr:rowOff>402852</xdr:rowOff>
    </xdr:from>
    <xdr:to>
      <xdr:col>7</xdr:col>
      <xdr:colOff>334112</xdr:colOff>
      <xdr:row>5</xdr:row>
      <xdr:rowOff>112060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588123" y="402852"/>
          <a:ext cx="6495107" cy="1378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PREFEITURA MUNICIPAL DE CORAÇÃO DE JESUS</a:t>
          </a:r>
        </a:p>
        <a:p>
          <a:pPr algn="ctr" rtl="0">
            <a:defRPr sz="1000"/>
          </a:pPr>
          <a:endParaRPr lang="pt-BR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ESTADO DE MINAS GERAIS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0</xdr:row>
          <xdr:rowOff>66675</xdr:rowOff>
        </xdr:from>
        <xdr:to>
          <xdr:col>1</xdr:col>
          <xdr:colOff>66675</xdr:colOff>
          <xdr:row>0</xdr:row>
          <xdr:rowOff>647700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0</xdr:row>
          <xdr:rowOff>142875</xdr:rowOff>
        </xdr:from>
        <xdr:to>
          <xdr:col>1</xdr:col>
          <xdr:colOff>190500</xdr:colOff>
          <xdr:row>1</xdr:row>
          <xdr:rowOff>400050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showZeros="0" tabSelected="1" view="pageBreakPreview" topLeftCell="A18" zoomScale="115" zoomScaleSheetLayoutView="115" workbookViewId="0">
      <selection activeCell="E27" sqref="E27"/>
    </sheetView>
  </sheetViews>
  <sheetFormatPr defaultRowHeight="12.75" x14ac:dyDescent="0.2"/>
  <cols>
    <col min="1" max="1" width="5.42578125" style="1" bestFit="1" customWidth="1"/>
    <col min="2" max="2" width="10.7109375" style="1" bestFit="1" customWidth="1"/>
    <col min="3" max="3" width="48" style="1" customWidth="1"/>
    <col min="4" max="4" width="9.140625" style="1"/>
    <col min="5" max="8" width="12.28515625" style="1" customWidth="1"/>
    <col min="9" max="9" width="13.85546875" style="1" customWidth="1"/>
    <col min="10" max="16384" width="9.140625" style="1"/>
  </cols>
  <sheetData>
    <row r="1" spans="1:10" s="20" customFormat="1" ht="99" customHeight="1" x14ac:dyDescent="0.2">
      <c r="A1" s="204" t="s">
        <v>58</v>
      </c>
      <c r="B1" s="205"/>
      <c r="C1" s="205"/>
      <c r="D1" s="205"/>
      <c r="E1" s="205"/>
      <c r="F1" s="205"/>
      <c r="G1" s="205"/>
      <c r="H1" s="205"/>
    </row>
    <row r="2" spans="1:10" ht="15.75" x14ac:dyDescent="0.25">
      <c r="A2" s="224"/>
      <c r="B2" s="224"/>
      <c r="C2" s="224"/>
      <c r="D2" s="224"/>
      <c r="E2" s="224"/>
      <c r="F2" s="224"/>
      <c r="G2" s="224"/>
      <c r="H2" s="224"/>
    </row>
    <row r="3" spans="1:10" ht="3.75" customHeight="1" thickBot="1" x14ac:dyDescent="0.25">
      <c r="A3" s="211"/>
      <c r="B3" s="211"/>
      <c r="C3" s="211"/>
      <c r="D3" s="211"/>
      <c r="E3" s="211"/>
      <c r="F3" s="211"/>
      <c r="G3" s="211"/>
      <c r="H3" s="211"/>
    </row>
    <row r="4" spans="1:10" ht="20.100000000000001" customHeight="1" thickBot="1" x14ac:dyDescent="0.25">
      <c r="A4" s="215" t="s">
        <v>4</v>
      </c>
      <c r="B4" s="216"/>
      <c r="C4" s="216"/>
      <c r="D4" s="216"/>
      <c r="E4" s="216"/>
      <c r="F4" s="216"/>
      <c r="G4" s="216"/>
      <c r="H4" s="217"/>
    </row>
    <row r="5" spans="1:10" ht="3.75" customHeight="1" thickBot="1" x14ac:dyDescent="0.25">
      <c r="A5" s="2"/>
      <c r="B5" s="2"/>
      <c r="C5" s="2"/>
      <c r="D5" s="2"/>
      <c r="E5" s="2"/>
      <c r="F5" s="2"/>
      <c r="G5" s="2"/>
      <c r="H5" s="2"/>
    </row>
    <row r="6" spans="1:10" ht="20.100000000000001" customHeight="1" x14ac:dyDescent="0.2">
      <c r="A6" s="232" t="s">
        <v>28</v>
      </c>
      <c r="B6" s="233"/>
      <c r="C6" s="233"/>
      <c r="D6" s="233"/>
      <c r="E6" s="234"/>
      <c r="F6" s="218" t="s">
        <v>27</v>
      </c>
      <c r="G6" s="219"/>
      <c r="H6" s="220"/>
    </row>
    <row r="7" spans="1:10" ht="20.100000000000001" customHeight="1" x14ac:dyDescent="0.2">
      <c r="A7" s="235" t="s">
        <v>70</v>
      </c>
      <c r="B7" s="236"/>
      <c r="C7" s="236"/>
      <c r="D7" s="236"/>
      <c r="E7" s="237"/>
      <c r="F7" s="229" t="s">
        <v>151</v>
      </c>
      <c r="G7" s="230"/>
      <c r="H7" s="231"/>
    </row>
    <row r="8" spans="1:10" ht="20.100000000000001" customHeight="1" x14ac:dyDescent="0.2">
      <c r="A8" s="238" t="s">
        <v>55</v>
      </c>
      <c r="B8" s="239"/>
      <c r="C8" s="239"/>
      <c r="D8" s="240"/>
      <c r="E8" s="212" t="s">
        <v>11</v>
      </c>
      <c r="F8" s="213"/>
      <c r="G8" s="213"/>
      <c r="H8" s="214"/>
    </row>
    <row r="9" spans="1:10" ht="26.25" customHeight="1" x14ac:dyDescent="0.2">
      <c r="A9" s="244" t="s">
        <v>164</v>
      </c>
      <c r="B9" s="245"/>
      <c r="C9" s="245"/>
      <c r="D9" s="246"/>
      <c r="E9" s="227" t="s">
        <v>8</v>
      </c>
      <c r="F9" s="225" t="s">
        <v>6</v>
      </c>
      <c r="G9" s="23" t="s">
        <v>56</v>
      </c>
      <c r="H9" s="3" t="s">
        <v>7</v>
      </c>
    </row>
    <row r="10" spans="1:10" ht="20.100000000000001" customHeight="1" thickBot="1" x14ac:dyDescent="0.25">
      <c r="A10" s="241" t="s">
        <v>29</v>
      </c>
      <c r="B10" s="242"/>
      <c r="C10" s="242"/>
      <c r="D10" s="243"/>
      <c r="E10" s="228"/>
      <c r="F10" s="226"/>
      <c r="G10" s="4" t="s">
        <v>9</v>
      </c>
      <c r="H10" s="10">
        <v>0.29770000000000002</v>
      </c>
    </row>
    <row r="11" spans="1:10" ht="3.75" customHeight="1" x14ac:dyDescent="0.2">
      <c r="A11" s="247"/>
      <c r="B11" s="247"/>
      <c r="C11" s="247"/>
      <c r="D11" s="247"/>
      <c r="E11" s="247"/>
      <c r="F11" s="247"/>
      <c r="G11" s="247"/>
      <c r="H11" s="247"/>
    </row>
    <row r="12" spans="1:10" ht="38.25" x14ac:dyDescent="0.2">
      <c r="A12" s="16" t="s">
        <v>0</v>
      </c>
      <c r="B12" s="16" t="s">
        <v>5</v>
      </c>
      <c r="C12" s="16" t="s">
        <v>1</v>
      </c>
      <c r="D12" s="16" t="s">
        <v>3</v>
      </c>
      <c r="E12" s="16" t="s">
        <v>2</v>
      </c>
      <c r="F12" s="17" t="s">
        <v>12</v>
      </c>
      <c r="G12" s="17" t="s">
        <v>13</v>
      </c>
      <c r="H12" s="17" t="s">
        <v>10</v>
      </c>
    </row>
    <row r="13" spans="1:10" x14ac:dyDescent="0.2">
      <c r="A13" s="81" t="s">
        <v>38</v>
      </c>
      <c r="B13" s="82"/>
      <c r="C13" s="83" t="s">
        <v>16</v>
      </c>
      <c r="D13" s="84"/>
      <c r="E13" s="85"/>
      <c r="F13" s="85"/>
      <c r="G13" s="85"/>
      <c r="H13" s="86"/>
    </row>
    <row r="14" spans="1:10" ht="127.5" x14ac:dyDescent="0.2">
      <c r="A14" s="77" t="s">
        <v>14</v>
      </c>
      <c r="B14" s="65" t="s">
        <v>18</v>
      </c>
      <c r="C14" s="162" t="s">
        <v>150</v>
      </c>
      <c r="D14" s="67" t="s">
        <v>31</v>
      </c>
      <c r="E14" s="68">
        <v>1</v>
      </c>
      <c r="F14" s="68">
        <v>1088.76</v>
      </c>
      <c r="G14" s="71">
        <f>ROUND(F14+(F14*$H$10),2)</f>
        <v>1412.88</v>
      </c>
      <c r="H14" s="78">
        <f>ROUND((E14*G14),2)</f>
        <v>1412.88</v>
      </c>
    </row>
    <row r="15" spans="1:10" ht="25.5" x14ac:dyDescent="0.2">
      <c r="A15" s="77" t="s">
        <v>17</v>
      </c>
      <c r="B15" s="167" t="s">
        <v>157</v>
      </c>
      <c r="C15" s="162" t="s">
        <v>156</v>
      </c>
      <c r="D15" s="190" t="s">
        <v>31</v>
      </c>
      <c r="E15" s="68">
        <f>'Memoria de calculo'!E12</f>
        <v>4</v>
      </c>
      <c r="F15" s="68">
        <v>82</v>
      </c>
      <c r="G15" s="71">
        <f>ROUND(F15+(F15*$H$10),2)</f>
        <v>106.41</v>
      </c>
      <c r="H15" s="78">
        <f>ROUND((E15*G15),2)</f>
        <v>425.64</v>
      </c>
      <c r="J15" s="1">
        <v>0</v>
      </c>
    </row>
    <row r="16" spans="1:10" ht="51" x14ac:dyDescent="0.2">
      <c r="A16" s="77" t="s">
        <v>33</v>
      </c>
      <c r="B16" s="167" t="s">
        <v>34</v>
      </c>
      <c r="C16" s="69" t="s">
        <v>35</v>
      </c>
      <c r="D16" s="67" t="s">
        <v>36</v>
      </c>
      <c r="E16" s="68">
        <v>0.5</v>
      </c>
      <c r="F16" s="170" t="s">
        <v>145</v>
      </c>
      <c r="G16" s="169">
        <f>H16</f>
        <v>261.76769999999999</v>
      </c>
      <c r="H16" s="78">
        <f>ROUND((E16*I16),2)/100</f>
        <v>261.76769999999999</v>
      </c>
      <c r="I16" s="68">
        <f>(H14+H15+H18+H17+H28+H31)</f>
        <v>52353.54</v>
      </c>
    </row>
    <row r="17" spans="1:11" ht="76.5" x14ac:dyDescent="0.2">
      <c r="A17" s="165" t="s">
        <v>37</v>
      </c>
      <c r="B17" s="167" t="s">
        <v>176</v>
      </c>
      <c r="C17" s="162" t="s">
        <v>177</v>
      </c>
      <c r="D17" s="190" t="s">
        <v>178</v>
      </c>
      <c r="E17" s="68">
        <v>1</v>
      </c>
      <c r="F17" s="68">
        <v>5054.16</v>
      </c>
      <c r="G17" s="71">
        <f>ROUND(F17+(F17*$H$10),2)</f>
        <v>6558.78</v>
      </c>
      <c r="H17" s="78">
        <f>ROUND((E17*G17),2)</f>
        <v>6558.78</v>
      </c>
    </row>
    <row r="18" spans="1:11" ht="25.5" x14ac:dyDescent="0.2">
      <c r="A18" s="165" t="s">
        <v>144</v>
      </c>
      <c r="B18" s="65" t="s">
        <v>81</v>
      </c>
      <c r="C18" s="162" t="s">
        <v>80</v>
      </c>
      <c r="D18" s="67" t="s">
        <v>82</v>
      </c>
      <c r="E18" s="68">
        <v>1</v>
      </c>
      <c r="F18" s="68">
        <v>515</v>
      </c>
      <c r="G18" s="71">
        <f>ROUND(F18+(F18*$H$10),2)</f>
        <v>668.32</v>
      </c>
      <c r="H18" s="78">
        <f>ROUND((E18*G18),2)</f>
        <v>668.32</v>
      </c>
      <c r="I18" s="19"/>
      <c r="K18" s="5" t="e">
        <f>#REF!+#REF!+#REF!+#REF!+#REF!+#REF!</f>
        <v>#REF!</v>
      </c>
    </row>
    <row r="19" spans="1:11" x14ac:dyDescent="0.2">
      <c r="A19" s="87"/>
      <c r="B19" s="88"/>
      <c r="C19" s="221" t="s">
        <v>57</v>
      </c>
      <c r="D19" s="221"/>
      <c r="E19" s="221"/>
      <c r="F19" s="221"/>
      <c r="G19" s="221"/>
      <c r="H19" s="89">
        <f>SUM(H14:H18)</f>
        <v>9327.3876999999993</v>
      </c>
      <c r="I19" s="19"/>
    </row>
    <row r="20" spans="1:11" ht="47.25" customHeight="1" x14ac:dyDescent="0.2">
      <c r="A20" s="18" t="s">
        <v>39</v>
      </c>
      <c r="B20" s="248" t="s">
        <v>159</v>
      </c>
      <c r="C20" s="248"/>
      <c r="D20" s="248"/>
      <c r="E20" s="248"/>
      <c r="F20" s="248"/>
      <c r="G20" s="248"/>
      <c r="H20" s="248"/>
      <c r="I20" s="15"/>
    </row>
    <row r="21" spans="1:11" x14ac:dyDescent="0.2">
      <c r="A21" s="81" t="s">
        <v>21</v>
      </c>
      <c r="B21" s="74"/>
      <c r="C21" s="90" t="s">
        <v>20</v>
      </c>
      <c r="D21" s="91"/>
      <c r="E21" s="75"/>
      <c r="F21" s="75"/>
      <c r="G21" s="75">
        <f t="shared" ref="G21:G27" si="0">ROUND(F21+(F21*$H$10),2)</f>
        <v>0</v>
      </c>
      <c r="H21" s="76">
        <f t="shared" ref="H21:H27" si="1">ROUND((E21*G21),2)</f>
        <v>0</v>
      </c>
      <c r="I21" s="13"/>
    </row>
    <row r="22" spans="1:11" ht="38.25" x14ac:dyDescent="0.2">
      <c r="A22" s="77" t="s">
        <v>40</v>
      </c>
      <c r="B22" s="171" t="s">
        <v>163</v>
      </c>
      <c r="C22" s="172" t="s">
        <v>161</v>
      </c>
      <c r="D22" s="190" t="s">
        <v>32</v>
      </c>
      <c r="E22" s="71">
        <f>'Memoria de calculo'!E18</f>
        <v>1087.56</v>
      </c>
      <c r="F22" s="71">
        <v>0.09</v>
      </c>
      <c r="G22" s="71">
        <f t="shared" si="0"/>
        <v>0.12</v>
      </c>
      <c r="H22" s="78">
        <f t="shared" si="1"/>
        <v>130.51</v>
      </c>
    </row>
    <row r="23" spans="1:11" ht="42.75" customHeight="1" x14ac:dyDescent="0.2">
      <c r="A23" s="77" t="s">
        <v>41</v>
      </c>
      <c r="B23" s="167" t="s">
        <v>172</v>
      </c>
      <c r="C23" s="162" t="s">
        <v>173</v>
      </c>
      <c r="D23" s="92" t="s">
        <v>46</v>
      </c>
      <c r="E23" s="71">
        <f>'Memoria de calculo'!E19</f>
        <v>9.6240000000000006</v>
      </c>
      <c r="F23" s="71">
        <v>89.4</v>
      </c>
      <c r="G23" s="71">
        <f t="shared" si="0"/>
        <v>116.01</v>
      </c>
      <c r="H23" s="78">
        <f t="shared" si="1"/>
        <v>1116.48</v>
      </c>
    </row>
    <row r="24" spans="1:11" ht="38.25" x14ac:dyDescent="0.2">
      <c r="A24" s="77" t="s">
        <v>43</v>
      </c>
      <c r="B24" s="171" t="s">
        <v>24</v>
      </c>
      <c r="C24" s="172" t="s">
        <v>146</v>
      </c>
      <c r="D24" s="92" t="s">
        <v>32</v>
      </c>
      <c r="E24" s="71">
        <f>'Memoria de calculo'!E21</f>
        <v>953.33</v>
      </c>
      <c r="F24" s="71">
        <v>6.73</v>
      </c>
      <c r="G24" s="71">
        <f t="shared" si="0"/>
        <v>8.73</v>
      </c>
      <c r="H24" s="78">
        <f t="shared" si="1"/>
        <v>8322.57</v>
      </c>
      <c r="I24" s="5"/>
    </row>
    <row r="25" spans="1:11" ht="51" x14ac:dyDescent="0.2">
      <c r="A25" s="77" t="s">
        <v>44</v>
      </c>
      <c r="B25" s="171" t="s">
        <v>23</v>
      </c>
      <c r="C25" s="172" t="s">
        <v>148</v>
      </c>
      <c r="D25" s="67" t="s">
        <v>32</v>
      </c>
      <c r="E25" s="71">
        <f>'Memoria de calculo'!E22</f>
        <v>953.33</v>
      </c>
      <c r="F25" s="71">
        <v>1.41</v>
      </c>
      <c r="G25" s="71">
        <f t="shared" si="0"/>
        <v>1.83</v>
      </c>
      <c r="H25" s="78">
        <f t="shared" si="1"/>
        <v>1744.59</v>
      </c>
      <c r="I25" s="5"/>
    </row>
    <row r="26" spans="1:11" ht="38.25" x14ac:dyDescent="0.2">
      <c r="A26" s="165" t="s">
        <v>97</v>
      </c>
      <c r="B26" s="171" t="s">
        <v>22</v>
      </c>
      <c r="C26" s="172" t="s">
        <v>147</v>
      </c>
      <c r="D26" s="67" t="s">
        <v>49</v>
      </c>
      <c r="E26" s="71">
        <f>'Memoria de calculo'!E23</f>
        <v>842.74372000000005</v>
      </c>
      <c r="F26" s="71">
        <v>0.46</v>
      </c>
      <c r="G26" s="71">
        <f t="shared" si="0"/>
        <v>0.6</v>
      </c>
      <c r="H26" s="78">
        <f t="shared" si="1"/>
        <v>505.65</v>
      </c>
    </row>
    <row r="27" spans="1:11" ht="102" x14ac:dyDescent="0.2">
      <c r="A27" s="165" t="s">
        <v>45</v>
      </c>
      <c r="B27" s="171" t="s">
        <v>179</v>
      </c>
      <c r="C27" s="172" t="s">
        <v>180</v>
      </c>
      <c r="D27" s="67" t="s">
        <v>46</v>
      </c>
      <c r="E27" s="71">
        <f>'Memoria de calculo'!E24</f>
        <v>38.133200000000002</v>
      </c>
      <c r="F27" s="71">
        <v>507.43</v>
      </c>
      <c r="G27" s="71">
        <f t="shared" si="0"/>
        <v>658.49</v>
      </c>
      <c r="H27" s="78">
        <f t="shared" si="1"/>
        <v>25110.33</v>
      </c>
      <c r="I27" s="13"/>
      <c r="J27" s="13"/>
    </row>
    <row r="28" spans="1:11" x14ac:dyDescent="0.2">
      <c r="A28" s="77"/>
      <c r="B28" s="70"/>
      <c r="C28" s="222" t="s">
        <v>57</v>
      </c>
      <c r="D28" s="222"/>
      <c r="E28" s="222"/>
      <c r="F28" s="222"/>
      <c r="G28" s="222"/>
      <c r="H28" s="93">
        <f>SUM(H22:H27)</f>
        <v>36930.130000000005</v>
      </c>
      <c r="I28" s="13"/>
      <c r="J28" s="13"/>
    </row>
    <row r="29" spans="1:11" x14ac:dyDescent="0.2">
      <c r="A29" s="79" t="s">
        <v>50</v>
      </c>
      <c r="B29" s="65"/>
      <c r="C29" s="66" t="s">
        <v>51</v>
      </c>
      <c r="D29" s="94"/>
      <c r="E29" s="67"/>
      <c r="F29" s="68"/>
      <c r="G29" s="68"/>
      <c r="H29" s="80"/>
      <c r="I29" s="14"/>
      <c r="J29" s="13"/>
    </row>
    <row r="30" spans="1:11" ht="51" x14ac:dyDescent="0.2">
      <c r="A30" s="165" t="s">
        <v>52</v>
      </c>
      <c r="B30" s="171" t="s">
        <v>53</v>
      </c>
      <c r="C30" s="162" t="s">
        <v>149</v>
      </c>
      <c r="D30" s="67" t="s">
        <v>54</v>
      </c>
      <c r="E30" s="68">
        <f>'Memoria de calculo'!E26</f>
        <v>173.71</v>
      </c>
      <c r="F30" s="68">
        <v>28.2</v>
      </c>
      <c r="G30" s="71">
        <f>ROUND(F30+(F30*$H$10),2)</f>
        <v>36.6</v>
      </c>
      <c r="H30" s="78">
        <f>ROUND((E30*G30),2)</f>
        <v>6357.79</v>
      </c>
      <c r="I30" s="19"/>
      <c r="J30" s="13"/>
    </row>
    <row r="31" spans="1:11" x14ac:dyDescent="0.2">
      <c r="A31" s="87"/>
      <c r="B31" s="95"/>
      <c r="C31" s="221" t="s">
        <v>57</v>
      </c>
      <c r="D31" s="221"/>
      <c r="E31" s="221"/>
      <c r="F31" s="221"/>
      <c r="G31" s="221"/>
      <c r="H31" s="96">
        <f>SUM(H30)</f>
        <v>6357.79</v>
      </c>
      <c r="I31" s="19"/>
      <c r="J31" s="13"/>
    </row>
    <row r="32" spans="1:11" x14ac:dyDescent="0.2">
      <c r="A32" s="210" t="s">
        <v>26</v>
      </c>
      <c r="B32" s="210"/>
      <c r="C32" s="210"/>
      <c r="D32" s="210"/>
      <c r="E32" s="210"/>
      <c r="F32" s="210"/>
      <c r="G32" s="210"/>
      <c r="H32" s="73">
        <f>H19+H28+H31</f>
        <v>52615.307700000005</v>
      </c>
    </row>
    <row r="33" spans="1:8" x14ac:dyDescent="0.2">
      <c r="A33" s="6"/>
      <c r="B33" s="6"/>
      <c r="C33" s="6"/>
      <c r="D33" s="6"/>
      <c r="E33" s="6"/>
      <c r="F33" s="6"/>
      <c r="G33" s="6"/>
      <c r="H33" s="7"/>
    </row>
    <row r="34" spans="1:8" x14ac:dyDescent="0.2">
      <c r="A34" s="8"/>
      <c r="B34" s="8"/>
      <c r="C34" s="8"/>
      <c r="D34" s="8"/>
      <c r="E34" s="8"/>
      <c r="F34" s="8"/>
      <c r="G34" s="8"/>
      <c r="H34" s="8"/>
    </row>
    <row r="35" spans="1:8" x14ac:dyDescent="0.2">
      <c r="A35" s="8"/>
      <c r="B35" s="209"/>
      <c r="C35" s="209"/>
      <c r="D35" s="8"/>
      <c r="E35" s="209"/>
      <c r="F35" s="209"/>
      <c r="G35" s="12"/>
      <c r="H35" s="8"/>
    </row>
    <row r="36" spans="1:8" x14ac:dyDescent="0.2">
      <c r="A36" s="9"/>
      <c r="B36" s="207" t="s">
        <v>75</v>
      </c>
      <c r="C36" s="207"/>
      <c r="D36" s="9"/>
      <c r="E36" s="207" t="s">
        <v>74</v>
      </c>
      <c r="F36" s="207"/>
      <c r="G36" s="11"/>
      <c r="H36" s="9"/>
    </row>
    <row r="37" spans="1:8" x14ac:dyDescent="0.2">
      <c r="B37" s="223" t="s">
        <v>78</v>
      </c>
      <c r="C37" s="223"/>
    </row>
    <row r="40" spans="1:8" x14ac:dyDescent="0.2">
      <c r="A40" s="8"/>
      <c r="B40" s="209"/>
      <c r="C40" s="209"/>
      <c r="D40" s="8"/>
      <c r="E40" s="206"/>
      <c r="F40" s="206"/>
      <c r="G40" s="12"/>
      <c r="H40" s="8"/>
    </row>
    <row r="41" spans="1:8" x14ac:dyDescent="0.2">
      <c r="A41" s="9"/>
      <c r="B41" s="207" t="s">
        <v>76</v>
      </c>
      <c r="C41" s="207"/>
      <c r="D41" s="9"/>
      <c r="E41" s="208"/>
      <c r="F41" s="208"/>
      <c r="G41" s="11"/>
      <c r="H41" s="9"/>
    </row>
    <row r="42" spans="1:8" x14ac:dyDescent="0.2">
      <c r="B42" s="223" t="s">
        <v>77</v>
      </c>
      <c r="C42" s="223"/>
    </row>
    <row r="43" spans="1:8" x14ac:dyDescent="0.2">
      <c r="B43" s="101"/>
      <c r="C43" s="101"/>
    </row>
  </sheetData>
  <mergeCells count="30">
    <mergeCell ref="B42:C42"/>
    <mergeCell ref="B37:C37"/>
    <mergeCell ref="A2:H2"/>
    <mergeCell ref="F9:F10"/>
    <mergeCell ref="E9:E10"/>
    <mergeCell ref="F7:H7"/>
    <mergeCell ref="A6:E6"/>
    <mergeCell ref="A7:E7"/>
    <mergeCell ref="A8:D8"/>
    <mergeCell ref="A10:D10"/>
    <mergeCell ref="A9:D9"/>
    <mergeCell ref="A11:H11"/>
    <mergeCell ref="C31:G31"/>
    <mergeCell ref="B20:H20"/>
    <mergeCell ref="A1:H1"/>
    <mergeCell ref="E40:F40"/>
    <mergeCell ref="B41:C41"/>
    <mergeCell ref="E41:F41"/>
    <mergeCell ref="B40:C40"/>
    <mergeCell ref="B36:C36"/>
    <mergeCell ref="E36:F36"/>
    <mergeCell ref="E35:F35"/>
    <mergeCell ref="B35:C35"/>
    <mergeCell ref="A32:G32"/>
    <mergeCell ref="A3:H3"/>
    <mergeCell ref="E8:H8"/>
    <mergeCell ref="A4:H4"/>
    <mergeCell ref="F6:H6"/>
    <mergeCell ref="C19:G19"/>
    <mergeCell ref="C28:G28"/>
  </mergeCells>
  <phoneticPr fontId="2" type="noConversion"/>
  <printOptions horizontalCentered="1"/>
  <pageMargins left="0.78740157480314965" right="0.19685039370078741" top="0.39370078740157483" bottom="0.39370078740157483" header="0" footer="0"/>
  <pageSetup paperSize="9" scale="77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161925</xdr:rowOff>
              </from>
              <to>
                <xdr:col>2</xdr:col>
                <xdr:colOff>361950</xdr:colOff>
                <xdr:row>1</xdr:row>
                <xdr:rowOff>28575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view="pageBreakPreview" topLeftCell="A27" zoomScaleNormal="100" zoomScaleSheetLayoutView="100" workbookViewId="0">
      <selection activeCell="I53" sqref="I53"/>
    </sheetView>
  </sheetViews>
  <sheetFormatPr defaultRowHeight="12.75" x14ac:dyDescent="0.2"/>
  <cols>
    <col min="1" max="1" width="9.7109375" style="22" customWidth="1"/>
    <col min="2" max="2" width="60.28515625" style="22" customWidth="1"/>
    <col min="3" max="3" width="48" style="22" customWidth="1"/>
    <col min="4" max="4" width="12.42578125" style="22" customWidth="1"/>
    <col min="5" max="5" width="16.42578125" style="142" customWidth="1"/>
    <col min="6" max="10" width="9.140625" style="20"/>
    <col min="11" max="11" width="23.5703125" style="20" customWidth="1"/>
    <col min="12" max="12" width="10.85546875" style="20" customWidth="1"/>
    <col min="13" max="16384" width="9.140625" style="20"/>
  </cols>
  <sheetData>
    <row r="1" spans="1:11" ht="99" customHeight="1" thickBot="1" x14ac:dyDescent="0.25">
      <c r="A1" s="253" t="s">
        <v>58</v>
      </c>
      <c r="B1" s="254"/>
      <c r="C1" s="254"/>
      <c r="D1" s="254"/>
      <c r="E1" s="255"/>
    </row>
    <row r="2" spans="1:11" ht="21" customHeight="1" thickBot="1" x14ac:dyDescent="0.25">
      <c r="A2" s="256" t="s">
        <v>83</v>
      </c>
      <c r="B2" s="257"/>
      <c r="C2" s="257"/>
      <c r="D2" s="257"/>
      <c r="E2" s="258"/>
    </row>
    <row r="3" spans="1:11" ht="12" customHeight="1" x14ac:dyDescent="0.2">
      <c r="A3" s="102"/>
      <c r="B3" s="103"/>
      <c r="C3" s="103"/>
      <c r="D3" s="103"/>
      <c r="E3" s="104"/>
    </row>
    <row r="4" spans="1:11" ht="20.25" customHeight="1" x14ac:dyDescent="0.2">
      <c r="A4" s="105" t="s">
        <v>84</v>
      </c>
      <c r="B4" s="106"/>
      <c r="C4" s="107"/>
      <c r="D4" s="107"/>
      <c r="E4" s="108"/>
    </row>
    <row r="5" spans="1:11" ht="12.75" customHeight="1" x14ac:dyDescent="0.2">
      <c r="A5" s="105" t="s">
        <v>169</v>
      </c>
      <c r="B5" s="106"/>
      <c r="C5" s="107"/>
      <c r="D5" s="107"/>
      <c r="E5" s="109"/>
      <c r="H5" s="107"/>
      <c r="I5" s="107"/>
      <c r="J5" s="107"/>
      <c r="K5" s="107"/>
    </row>
    <row r="6" spans="1:11" ht="38.25" customHeight="1" x14ac:dyDescent="0.2">
      <c r="A6" s="259" t="s">
        <v>154</v>
      </c>
      <c r="B6" s="260"/>
      <c r="C6" s="260"/>
      <c r="D6" s="260"/>
      <c r="E6" s="261"/>
      <c r="G6" s="128" t="e">
        <f>#REF!+#REF!+#REF!+#REF!+#REF!+#REF!</f>
        <v>#REF!</v>
      </c>
      <c r="H6" s="110"/>
      <c r="I6" s="107"/>
      <c r="J6" s="107"/>
      <c r="K6" s="110"/>
    </row>
    <row r="7" spans="1:11" ht="18.75" customHeight="1" x14ac:dyDescent="0.2">
      <c r="A7" s="262" t="s">
        <v>29</v>
      </c>
      <c r="B7" s="263"/>
      <c r="C7" s="107"/>
      <c r="D7" s="107"/>
      <c r="E7" s="109"/>
      <c r="H7" s="110"/>
      <c r="I7" s="107"/>
      <c r="J7" s="107"/>
      <c r="K7" s="110"/>
    </row>
    <row r="8" spans="1:11" ht="8.25" customHeight="1" x14ac:dyDescent="0.2">
      <c r="A8" s="191"/>
      <c r="B8" s="107"/>
      <c r="C8" s="107"/>
      <c r="D8" s="107"/>
      <c r="E8" s="108"/>
      <c r="H8" s="107"/>
      <c r="I8" s="107"/>
      <c r="J8" s="107"/>
      <c r="K8" s="107"/>
    </row>
    <row r="9" spans="1:11" ht="24.75" customHeight="1" x14ac:dyDescent="0.2">
      <c r="A9" s="16" t="s">
        <v>0</v>
      </c>
      <c r="B9" s="18" t="s">
        <v>1</v>
      </c>
      <c r="C9" s="18" t="s">
        <v>85</v>
      </c>
      <c r="D9" s="18" t="s">
        <v>3</v>
      </c>
      <c r="E9" s="194" t="s">
        <v>2</v>
      </c>
      <c r="H9" s="107"/>
      <c r="I9" s="107"/>
      <c r="J9" s="107"/>
      <c r="K9" s="107"/>
    </row>
    <row r="10" spans="1:11" x14ac:dyDescent="0.2">
      <c r="A10" s="192" t="s">
        <v>38</v>
      </c>
      <c r="B10" s="193" t="s">
        <v>16</v>
      </c>
      <c r="C10" s="193"/>
      <c r="D10" s="129"/>
      <c r="E10" s="130"/>
      <c r="H10" s="107"/>
      <c r="I10" s="107"/>
      <c r="J10" s="107"/>
      <c r="K10" s="107"/>
    </row>
    <row r="11" spans="1:11" ht="102" x14ac:dyDescent="0.2">
      <c r="A11" s="111" t="s">
        <v>86</v>
      </c>
      <c r="B11" s="168" t="s">
        <v>30</v>
      </c>
      <c r="C11" s="112" t="s">
        <v>152</v>
      </c>
      <c r="D11" s="113" t="s">
        <v>31</v>
      </c>
      <c r="E11" s="114">
        <v>1</v>
      </c>
      <c r="H11" s="107"/>
    </row>
    <row r="12" spans="1:11" ht="84" customHeight="1" x14ac:dyDescent="0.2">
      <c r="A12" s="111" t="s">
        <v>87</v>
      </c>
      <c r="B12" s="168" t="s">
        <v>156</v>
      </c>
      <c r="C12" s="115" t="s">
        <v>165</v>
      </c>
      <c r="D12" s="164" t="s">
        <v>158</v>
      </c>
      <c r="E12" s="114">
        <f>ROUND(F12/20,0)</f>
        <v>4</v>
      </c>
      <c r="F12" s="114">
        <f>K51</f>
        <v>89.72</v>
      </c>
      <c r="H12" s="116"/>
      <c r="K12" s="20" t="e">
        <f>H50+#REF!+#REF!+#REF!+#REF!+#REF!</f>
        <v>#REF!</v>
      </c>
    </row>
    <row r="13" spans="1:11" ht="42.75" customHeight="1" x14ac:dyDescent="0.2">
      <c r="A13" s="117" t="s">
        <v>88</v>
      </c>
      <c r="B13" s="163" t="s">
        <v>89</v>
      </c>
      <c r="C13" s="118" t="s">
        <v>90</v>
      </c>
      <c r="D13" s="164" t="s">
        <v>36</v>
      </c>
      <c r="E13" s="114">
        <v>0.5</v>
      </c>
      <c r="F13" s="20">
        <f>550000*(0.5%)</f>
        <v>2750</v>
      </c>
      <c r="H13" s="119"/>
    </row>
    <row r="14" spans="1:11" ht="102" x14ac:dyDescent="0.2">
      <c r="A14" s="117" t="s">
        <v>91</v>
      </c>
      <c r="B14" s="163" t="s">
        <v>174</v>
      </c>
      <c r="C14" s="112" t="s">
        <v>175</v>
      </c>
      <c r="D14" s="164" t="s">
        <v>31</v>
      </c>
      <c r="E14" s="114">
        <v>1</v>
      </c>
    </row>
    <row r="15" spans="1:11" ht="30" customHeight="1" x14ac:dyDescent="0.2">
      <c r="A15" s="117" t="s">
        <v>143</v>
      </c>
      <c r="B15" s="163" t="s">
        <v>80</v>
      </c>
      <c r="C15" s="112" t="s">
        <v>142</v>
      </c>
      <c r="D15" s="164" t="s">
        <v>82</v>
      </c>
      <c r="E15" s="114">
        <v>1</v>
      </c>
    </row>
    <row r="16" spans="1:11" x14ac:dyDescent="0.2">
      <c r="A16" s="117" t="s">
        <v>39</v>
      </c>
      <c r="B16" s="264" t="s">
        <v>159</v>
      </c>
      <c r="C16" s="265"/>
      <c r="D16" s="265"/>
      <c r="E16" s="266"/>
    </row>
    <row r="17" spans="1:5" x14ac:dyDescent="0.2">
      <c r="A17" s="120" t="s">
        <v>92</v>
      </c>
      <c r="B17" s="121" t="s">
        <v>20</v>
      </c>
      <c r="C17" s="122"/>
      <c r="D17" s="113"/>
      <c r="E17" s="114"/>
    </row>
    <row r="18" spans="1:5" ht="36" customHeight="1" x14ac:dyDescent="0.2">
      <c r="A18" s="120" t="s">
        <v>40</v>
      </c>
      <c r="B18" s="172" t="s">
        <v>161</v>
      </c>
      <c r="C18" s="124"/>
      <c r="D18" s="123"/>
      <c r="E18" s="114">
        <f>H52</f>
        <v>1087.56</v>
      </c>
    </row>
    <row r="19" spans="1:5" ht="38.25" x14ac:dyDescent="0.2">
      <c r="A19" s="120" t="s">
        <v>41</v>
      </c>
      <c r="B19" s="162" t="s">
        <v>173</v>
      </c>
      <c r="C19" s="112" t="s">
        <v>181</v>
      </c>
      <c r="D19" s="123" t="s">
        <v>46</v>
      </c>
      <c r="E19" s="114">
        <f>J53</f>
        <v>9.6240000000000006</v>
      </c>
    </row>
    <row r="20" spans="1:5" ht="25.5" x14ac:dyDescent="0.2">
      <c r="A20" s="120" t="s">
        <v>42</v>
      </c>
      <c r="B20" s="72" t="s">
        <v>48</v>
      </c>
      <c r="C20" s="112" t="s">
        <v>170</v>
      </c>
      <c r="D20" s="123" t="s">
        <v>47</v>
      </c>
      <c r="E20" s="114">
        <f>B50</f>
        <v>113.56320000000001</v>
      </c>
    </row>
    <row r="21" spans="1:5" ht="48" x14ac:dyDescent="0.2">
      <c r="A21" s="120" t="s">
        <v>43</v>
      </c>
      <c r="B21" s="172" t="s">
        <v>146</v>
      </c>
      <c r="C21" s="112" t="s">
        <v>166</v>
      </c>
      <c r="D21" s="113" t="s">
        <v>32</v>
      </c>
      <c r="E21" s="114">
        <f>H50</f>
        <v>953.33</v>
      </c>
    </row>
    <row r="22" spans="1:5" ht="63" customHeight="1" x14ac:dyDescent="0.2">
      <c r="A22" s="120" t="s">
        <v>44</v>
      </c>
      <c r="B22" s="172" t="s">
        <v>148</v>
      </c>
      <c r="C22" s="112" t="s">
        <v>166</v>
      </c>
      <c r="D22" s="129" t="s">
        <v>32</v>
      </c>
      <c r="E22" s="130">
        <f>E21</f>
        <v>953.33</v>
      </c>
    </row>
    <row r="23" spans="1:5" ht="48" x14ac:dyDescent="0.2">
      <c r="A23" s="120" t="s">
        <v>97</v>
      </c>
      <c r="B23" s="172" t="s">
        <v>147</v>
      </c>
      <c r="C23" s="124" t="s">
        <v>167</v>
      </c>
      <c r="D23" s="113" t="s">
        <v>49</v>
      </c>
      <c r="E23" s="114">
        <f>E22*520*(0.0012+0.0005)</f>
        <v>842.74372000000005</v>
      </c>
    </row>
    <row r="24" spans="1:5" ht="102" x14ac:dyDescent="0.2">
      <c r="A24" s="120" t="s">
        <v>45</v>
      </c>
      <c r="B24" s="72" t="s">
        <v>79</v>
      </c>
      <c r="C24" s="112" t="s">
        <v>168</v>
      </c>
      <c r="D24" s="113" t="s">
        <v>46</v>
      </c>
      <c r="E24" s="114">
        <f>E22*0.04</f>
        <v>38.133200000000002</v>
      </c>
    </row>
    <row r="25" spans="1:5" ht="15.75" customHeight="1" x14ac:dyDescent="0.2">
      <c r="A25" s="120" t="s">
        <v>50</v>
      </c>
      <c r="B25" s="121" t="s">
        <v>98</v>
      </c>
      <c r="C25" s="122"/>
      <c r="D25" s="113"/>
      <c r="E25" s="114"/>
    </row>
    <row r="26" spans="1:5" ht="69" customHeight="1" x14ac:dyDescent="0.2">
      <c r="A26" s="131" t="s">
        <v>52</v>
      </c>
      <c r="B26" s="162" t="s">
        <v>149</v>
      </c>
      <c r="C26" s="166" t="s">
        <v>153</v>
      </c>
      <c r="D26" s="113" t="s">
        <v>54</v>
      </c>
      <c r="E26" s="114">
        <f>H51</f>
        <v>173.71</v>
      </c>
    </row>
    <row r="27" spans="1:5" x14ac:dyDescent="0.2">
      <c r="A27" s="20"/>
      <c r="B27" s="107"/>
      <c r="C27" s="20"/>
      <c r="D27" s="20"/>
      <c r="E27" s="132"/>
    </row>
    <row r="28" spans="1:5" x14ac:dyDescent="0.2">
      <c r="A28" s="20"/>
      <c r="B28" s="20"/>
      <c r="C28" s="20"/>
      <c r="D28" s="20"/>
      <c r="E28" s="132"/>
    </row>
    <row r="29" spans="1:5" x14ac:dyDescent="0.2">
      <c r="A29" s="249" t="s">
        <v>99</v>
      </c>
      <c r="B29" s="249"/>
      <c r="C29" s="249"/>
      <c r="D29" s="249"/>
      <c r="E29" s="249"/>
    </row>
    <row r="30" spans="1:5" x14ac:dyDescent="0.2">
      <c r="A30" s="133"/>
      <c r="B30" s="133"/>
      <c r="C30" s="134"/>
      <c r="D30" s="135"/>
      <c r="E30" s="136"/>
    </row>
    <row r="31" spans="1:5" x14ac:dyDescent="0.2">
      <c r="A31" s="133"/>
      <c r="B31" s="133"/>
      <c r="C31" s="134"/>
      <c r="D31" s="135"/>
      <c r="E31" s="136"/>
    </row>
    <row r="32" spans="1:5" x14ac:dyDescent="0.2">
      <c r="A32" s="251" t="s">
        <v>100</v>
      </c>
      <c r="B32" s="251"/>
      <c r="C32" s="251"/>
      <c r="D32" s="251"/>
      <c r="E32" s="251"/>
    </row>
    <row r="33" spans="1:11" x14ac:dyDescent="0.2">
      <c r="A33" s="251" t="s">
        <v>101</v>
      </c>
      <c r="B33" s="251"/>
      <c r="C33" s="251"/>
      <c r="D33" s="251"/>
      <c r="E33" s="251"/>
    </row>
    <row r="34" spans="1:11" x14ac:dyDescent="0.2">
      <c r="A34" s="252" t="s">
        <v>78</v>
      </c>
      <c r="B34" s="252"/>
      <c r="C34" s="252"/>
      <c r="D34" s="252"/>
      <c r="E34" s="252"/>
    </row>
    <row r="35" spans="1:11" x14ac:dyDescent="0.2">
      <c r="A35" s="252" t="s">
        <v>102</v>
      </c>
      <c r="B35" s="252"/>
      <c r="C35" s="252"/>
      <c r="D35" s="252"/>
      <c r="E35" s="252"/>
    </row>
    <row r="36" spans="1:11" x14ac:dyDescent="0.2">
      <c r="A36" s="249"/>
      <c r="B36" s="249"/>
      <c r="C36" s="137"/>
      <c r="D36" s="249"/>
      <c r="E36" s="249"/>
    </row>
    <row r="37" spans="1:11" x14ac:dyDescent="0.2">
      <c r="A37" s="250"/>
      <c r="B37" s="250"/>
      <c r="C37" s="137"/>
      <c r="D37" s="138"/>
      <c r="E37" s="139"/>
    </row>
    <row r="38" spans="1:11" x14ac:dyDescent="0.2">
      <c r="A38" s="140"/>
      <c r="B38" s="140"/>
      <c r="C38" s="140"/>
      <c r="D38" s="140"/>
      <c r="E38" s="141"/>
    </row>
    <row r="47" spans="1:11" x14ac:dyDescent="0.2">
      <c r="B47" s="195">
        <v>8</v>
      </c>
      <c r="C47" s="195"/>
      <c r="D47" s="195"/>
      <c r="E47" s="195"/>
      <c r="F47" s="195"/>
      <c r="G47" s="195"/>
      <c r="H47" s="195"/>
      <c r="I47" s="195"/>
      <c r="J47" s="195"/>
      <c r="K47" s="195"/>
    </row>
    <row r="48" spans="1:11" x14ac:dyDescent="0.2">
      <c r="B48" s="20"/>
      <c r="C48" s="20"/>
      <c r="D48" s="125"/>
      <c r="E48" s="126"/>
      <c r="F48" s="126"/>
    </row>
    <row r="49" spans="2:11" x14ac:dyDescent="0.2">
      <c r="B49" s="195" t="e">
        <f>ROUND(#REF!*0.15,2)</f>
        <v>#REF!</v>
      </c>
      <c r="C49" s="195"/>
      <c r="D49" s="196"/>
      <c r="E49" s="197"/>
      <c r="F49" s="198"/>
      <c r="G49" s="195"/>
      <c r="H49" s="195"/>
      <c r="I49" s="195"/>
      <c r="J49" s="195"/>
      <c r="K49" s="195"/>
    </row>
    <row r="50" spans="2:11" x14ac:dyDescent="0.2">
      <c r="B50" s="20">
        <f>E19*11.8</f>
        <v>113.56320000000001</v>
      </c>
      <c r="C50" s="20"/>
      <c r="D50" s="20"/>
      <c r="E50" s="20"/>
      <c r="F50" s="110" t="s">
        <v>93</v>
      </c>
      <c r="G50" s="107"/>
      <c r="H50" s="110">
        <v>953.33</v>
      </c>
    </row>
    <row r="51" spans="2:11" x14ac:dyDescent="0.2">
      <c r="B51" s="20"/>
      <c r="C51" s="20"/>
      <c r="D51" s="20"/>
      <c r="E51" s="20"/>
      <c r="F51" s="110" t="s">
        <v>94</v>
      </c>
      <c r="G51" s="127"/>
      <c r="H51" s="107">
        <v>173.71</v>
      </c>
      <c r="I51" s="21" t="s">
        <v>95</v>
      </c>
      <c r="K51" s="20">
        <v>89.72</v>
      </c>
    </row>
    <row r="52" spans="2:11" x14ac:dyDescent="0.2">
      <c r="B52" s="195">
        <v>160.131</v>
      </c>
      <c r="C52" s="199" t="e">
        <f>#REF!</f>
        <v>#REF!</v>
      </c>
      <c r="D52" s="195"/>
      <c r="E52" s="195"/>
      <c r="F52" s="200" t="s">
        <v>96</v>
      </c>
      <c r="G52" s="201"/>
      <c r="H52" s="202">
        <v>1087.56</v>
      </c>
      <c r="I52" s="195"/>
      <c r="J52" s="195"/>
      <c r="K52" s="195"/>
    </row>
    <row r="53" spans="2:11" x14ac:dyDescent="0.2">
      <c r="F53" s="203" t="s">
        <v>162</v>
      </c>
      <c r="H53" s="107">
        <v>48.12</v>
      </c>
      <c r="I53" s="20">
        <v>0.2</v>
      </c>
      <c r="J53" s="20">
        <f>H53*I53</f>
        <v>9.6240000000000006</v>
      </c>
    </row>
  </sheetData>
  <mergeCells count="13">
    <mergeCell ref="A1:E1"/>
    <mergeCell ref="A2:E2"/>
    <mergeCell ref="A6:E6"/>
    <mergeCell ref="A7:B7"/>
    <mergeCell ref="B16:E16"/>
    <mergeCell ref="A36:B36"/>
    <mergeCell ref="D36:E36"/>
    <mergeCell ref="A37:B37"/>
    <mergeCell ref="A29:E29"/>
    <mergeCell ref="A32:E32"/>
    <mergeCell ref="A33:E33"/>
    <mergeCell ref="A34:E34"/>
    <mergeCell ref="A35:E35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1" orientation="landscape" r:id="rId1"/>
  <rowBreaks count="1" manualBreakCount="1">
    <brk id="18" max="4" man="1"/>
  </rowBreaks>
  <drawing r:id="rId2"/>
  <legacyDrawing r:id="rId3"/>
  <oleObjects>
    <mc:AlternateContent xmlns:mc="http://schemas.openxmlformats.org/markup-compatibility/2006">
      <mc:Choice Requires="x14">
        <oleObject shapeId="7169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133350</xdr:rowOff>
              </from>
              <to>
                <xdr:col>1</xdr:col>
                <xdr:colOff>19050</xdr:colOff>
                <xdr:row>0</xdr:row>
                <xdr:rowOff>771525</xdr:rowOff>
              </to>
            </anchor>
          </objectPr>
        </oleObject>
      </mc:Choice>
      <mc:Fallback>
        <oleObject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showZeros="0" view="pageBreakPreview" topLeftCell="B1" zoomScaleNormal="75" zoomScaleSheetLayoutView="100" workbookViewId="0">
      <selection activeCell="F8" sqref="F8"/>
    </sheetView>
  </sheetViews>
  <sheetFormatPr defaultRowHeight="12.75" x14ac:dyDescent="0.2"/>
  <cols>
    <col min="1" max="1" width="12.140625" style="24" customWidth="1"/>
    <col min="2" max="2" width="10.42578125" style="24" customWidth="1"/>
    <col min="3" max="3" width="64.28515625" style="24" customWidth="1"/>
    <col min="4" max="4" width="14.28515625" style="61" customWidth="1"/>
    <col min="5" max="5" width="16.42578125" style="61" customWidth="1"/>
    <col min="6" max="6" width="19.85546875" style="24" customWidth="1"/>
    <col min="7" max="7" width="14.7109375" style="24" customWidth="1"/>
    <col min="8" max="8" width="15.42578125" style="24" customWidth="1"/>
    <col min="9" max="9" width="15.5703125" style="24" customWidth="1"/>
    <col min="10" max="10" width="14" style="24" customWidth="1"/>
    <col min="11" max="11" width="18" style="24" customWidth="1"/>
    <col min="12" max="12" width="19.5703125" style="24" customWidth="1"/>
    <col min="13" max="16384" width="9.140625" style="24"/>
  </cols>
  <sheetData>
    <row r="1" spans="1:12" ht="91.5" customHeight="1" x14ac:dyDescent="0.2">
      <c r="A1" s="272"/>
      <c r="B1" s="273"/>
      <c r="C1" s="273"/>
      <c r="D1" s="273"/>
      <c r="E1" s="273"/>
      <c r="F1" s="273"/>
      <c r="G1" s="273"/>
      <c r="H1" s="273"/>
      <c r="I1" s="273"/>
      <c r="J1" s="273"/>
      <c r="K1" s="274"/>
    </row>
    <row r="2" spans="1:12" ht="2.25" customHeight="1" x14ac:dyDescent="0.2">
      <c r="A2" s="173"/>
      <c r="B2" s="25"/>
      <c r="C2" s="25"/>
      <c r="D2" s="26"/>
      <c r="E2" s="26"/>
      <c r="F2" s="26"/>
      <c r="G2" s="26"/>
      <c r="H2" s="26"/>
      <c r="I2" s="25"/>
      <c r="J2" s="25"/>
      <c r="K2" s="174"/>
    </row>
    <row r="3" spans="1:12" ht="15.75" x14ac:dyDescent="0.25">
      <c r="A3" s="286"/>
      <c r="B3" s="287"/>
      <c r="C3" s="287"/>
      <c r="D3" s="287"/>
      <c r="E3" s="287"/>
      <c r="F3" s="287"/>
      <c r="G3" s="287"/>
      <c r="H3" s="287"/>
      <c r="I3" s="287"/>
      <c r="J3" s="287"/>
      <c r="K3" s="288"/>
    </row>
    <row r="4" spans="1:12" ht="3.75" customHeight="1" x14ac:dyDescent="0.2">
      <c r="A4" s="55"/>
      <c r="B4" s="27"/>
      <c r="C4" s="27"/>
      <c r="D4" s="26"/>
      <c r="E4" s="26"/>
      <c r="F4" s="27"/>
      <c r="G4" s="27"/>
      <c r="H4" s="27"/>
      <c r="I4" s="27"/>
      <c r="J4" s="27"/>
      <c r="K4" s="57"/>
    </row>
    <row r="5" spans="1:12" ht="18" customHeight="1" x14ac:dyDescent="0.2">
      <c r="A5" s="289" t="s">
        <v>59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</row>
    <row r="6" spans="1:12" ht="18" customHeight="1" x14ac:dyDescent="0.2">
      <c r="A6" s="290" t="s">
        <v>69</v>
      </c>
      <c r="B6" s="291"/>
      <c r="C6" s="292"/>
      <c r="D6" s="291" t="s">
        <v>171</v>
      </c>
      <c r="E6" s="291"/>
      <c r="F6" s="291"/>
      <c r="G6" s="291"/>
      <c r="H6" s="292"/>
      <c r="I6" s="293" t="s">
        <v>151</v>
      </c>
      <c r="J6" s="293"/>
      <c r="K6" s="294"/>
    </row>
    <row r="7" spans="1:12" ht="18" customHeight="1" thickBot="1" x14ac:dyDescent="0.25">
      <c r="A7" s="281" t="s">
        <v>71</v>
      </c>
      <c r="B7" s="282"/>
      <c r="C7" s="283"/>
      <c r="D7" s="282" t="s">
        <v>72</v>
      </c>
      <c r="E7" s="282"/>
      <c r="F7" s="282"/>
      <c r="G7" s="282"/>
      <c r="H7" s="282"/>
      <c r="I7" s="284" t="s">
        <v>73</v>
      </c>
      <c r="J7" s="282"/>
      <c r="K7" s="285"/>
    </row>
    <row r="8" spans="1:12" ht="36" customHeight="1" thickBot="1" x14ac:dyDescent="0.25">
      <c r="A8" s="28" t="s">
        <v>0</v>
      </c>
      <c r="B8" s="29" t="s">
        <v>5</v>
      </c>
      <c r="C8" s="29" t="s">
        <v>60</v>
      </c>
      <c r="D8" s="30" t="s">
        <v>61</v>
      </c>
      <c r="E8" s="30" t="s">
        <v>62</v>
      </c>
      <c r="F8" s="29" t="s">
        <v>63</v>
      </c>
      <c r="G8" s="29"/>
      <c r="H8" s="29"/>
      <c r="I8" s="29"/>
      <c r="J8" s="29"/>
      <c r="K8" s="31"/>
    </row>
    <row r="9" spans="1:12" ht="14.25" customHeight="1" x14ac:dyDescent="0.2">
      <c r="A9" s="99">
        <v>1</v>
      </c>
      <c r="B9" s="268" t="s">
        <v>15</v>
      </c>
      <c r="C9" s="270" t="s">
        <v>16</v>
      </c>
      <c r="D9" s="32" t="s">
        <v>64</v>
      </c>
      <c r="E9" s="97">
        <f>E10/$E$16</f>
        <v>0.17727517157521058</v>
      </c>
      <c r="F9" s="33">
        <v>1</v>
      </c>
      <c r="G9" s="33"/>
      <c r="H9" s="33"/>
      <c r="I9" s="34"/>
      <c r="J9" s="35"/>
      <c r="K9" s="36"/>
    </row>
    <row r="10" spans="1:12" ht="14.25" customHeight="1" x14ac:dyDescent="0.2">
      <c r="A10" s="100"/>
      <c r="B10" s="269"/>
      <c r="C10" s="271"/>
      <c r="D10" s="37" t="s">
        <v>65</v>
      </c>
      <c r="E10" s="62">
        <f>'Planilha Orcamentaria'!$H$19</f>
        <v>9327.3876999999993</v>
      </c>
      <c r="F10" s="38">
        <f t="shared" ref="F10" si="0">F9*$E$10</f>
        <v>9327.3876999999993</v>
      </c>
      <c r="G10" s="38"/>
      <c r="H10" s="38"/>
      <c r="I10" s="38"/>
      <c r="J10" s="38"/>
      <c r="K10" s="39"/>
    </row>
    <row r="11" spans="1:12" ht="14.25" customHeight="1" x14ac:dyDescent="0.2">
      <c r="A11" s="100">
        <v>2</v>
      </c>
      <c r="B11" s="269" t="s">
        <v>19</v>
      </c>
      <c r="C11" s="271" t="s">
        <v>160</v>
      </c>
      <c r="D11" s="37" t="s">
        <v>64</v>
      </c>
      <c r="E11" s="97">
        <f>E12/$E$16</f>
        <v>0.70188946172408306</v>
      </c>
      <c r="F11" s="33">
        <v>1</v>
      </c>
      <c r="G11" s="33"/>
      <c r="H11" s="33"/>
      <c r="I11" s="34"/>
      <c r="J11" s="35"/>
      <c r="K11" s="36"/>
    </row>
    <row r="12" spans="1:12" ht="14.25" customHeight="1" x14ac:dyDescent="0.2">
      <c r="A12" s="100"/>
      <c r="B12" s="269"/>
      <c r="C12" s="271"/>
      <c r="D12" s="37" t="s">
        <v>65</v>
      </c>
      <c r="E12" s="62">
        <f>'Planilha Orcamentaria'!$H$28</f>
        <v>36930.130000000005</v>
      </c>
      <c r="F12" s="38">
        <f t="shared" ref="F12" si="1">F11*$E$12</f>
        <v>36930.130000000005</v>
      </c>
      <c r="G12" s="38"/>
      <c r="H12" s="38"/>
      <c r="I12" s="38"/>
      <c r="J12" s="38"/>
      <c r="K12" s="39"/>
    </row>
    <row r="13" spans="1:12" ht="14.25" customHeight="1" x14ac:dyDescent="0.2">
      <c r="A13" s="100">
        <v>3</v>
      </c>
      <c r="B13" s="269" t="s">
        <v>25</v>
      </c>
      <c r="C13" s="271" t="s">
        <v>155</v>
      </c>
      <c r="D13" s="37" t="s">
        <v>64</v>
      </c>
      <c r="E13" s="97">
        <f>E14/$E$16</f>
        <v>0.12083536670070637</v>
      </c>
      <c r="F13" s="33">
        <v>1</v>
      </c>
      <c r="G13" s="33"/>
      <c r="H13" s="33"/>
      <c r="I13" s="34"/>
      <c r="J13" s="35"/>
      <c r="K13" s="36"/>
    </row>
    <row r="14" spans="1:12" ht="14.25" customHeight="1" x14ac:dyDescent="0.2">
      <c r="A14" s="100"/>
      <c r="B14" s="269"/>
      <c r="C14" s="271"/>
      <c r="D14" s="37" t="s">
        <v>65</v>
      </c>
      <c r="E14" s="62">
        <f>'Planilha Orcamentaria'!$H$31</f>
        <v>6357.79</v>
      </c>
      <c r="F14" s="38">
        <f t="shared" ref="F14" si="2">F13*$E$14</f>
        <v>6357.79</v>
      </c>
      <c r="G14" s="38"/>
      <c r="H14" s="38"/>
      <c r="I14" s="38"/>
      <c r="J14" s="38"/>
      <c r="K14" s="39"/>
    </row>
    <row r="15" spans="1:12" ht="14.25" customHeight="1" x14ac:dyDescent="0.2">
      <c r="A15" s="275" t="s">
        <v>66</v>
      </c>
      <c r="B15" s="276"/>
      <c r="C15" s="277"/>
      <c r="D15" s="40" t="s">
        <v>64</v>
      </c>
      <c r="E15" s="63">
        <f>E9+E11+E13</f>
        <v>1</v>
      </c>
      <c r="F15" s="41">
        <f t="shared" ref="F15" si="3">F16/$E$16</f>
        <v>1</v>
      </c>
      <c r="G15" s="41"/>
      <c r="H15" s="41"/>
      <c r="I15" s="41"/>
      <c r="J15" s="41"/>
      <c r="K15" s="42"/>
      <c r="L15" s="98"/>
    </row>
    <row r="16" spans="1:12" ht="13.5" customHeight="1" thickBot="1" x14ac:dyDescent="0.25">
      <c r="A16" s="278"/>
      <c r="B16" s="279"/>
      <c r="C16" s="280"/>
      <c r="D16" s="43" t="s">
        <v>65</v>
      </c>
      <c r="E16" s="64">
        <f>E10+E12+E14</f>
        <v>52615.307700000005</v>
      </c>
      <c r="F16" s="44">
        <f>F10+F12+F14</f>
        <v>52615.307700000005</v>
      </c>
      <c r="G16" s="44"/>
      <c r="H16" s="44"/>
      <c r="I16" s="44"/>
      <c r="J16" s="44"/>
      <c r="K16" s="45"/>
      <c r="L16" s="98"/>
    </row>
    <row r="17" spans="1:13" ht="1.5" customHeight="1" x14ac:dyDescent="0.2">
      <c r="A17" s="46"/>
      <c r="B17" s="46"/>
      <c r="C17" s="46"/>
      <c r="D17" s="47"/>
      <c r="E17" s="47"/>
      <c r="F17" s="46"/>
      <c r="G17" s="46"/>
      <c r="H17" s="46"/>
      <c r="I17" s="46"/>
      <c r="J17" s="46"/>
      <c r="K17" s="46"/>
    </row>
    <row r="18" spans="1:13" ht="34.5" customHeight="1" x14ac:dyDescent="0.2">
      <c r="A18" s="175"/>
      <c r="B18" s="176"/>
      <c r="C18" s="176"/>
      <c r="D18" s="176"/>
      <c r="E18" s="176"/>
      <c r="F18" s="176"/>
      <c r="G18" s="177"/>
      <c r="H18" s="178"/>
      <c r="I18" s="179"/>
      <c r="J18" s="179"/>
      <c r="K18" s="180"/>
      <c r="M18" s="48" t="s">
        <v>67</v>
      </c>
    </row>
    <row r="19" spans="1:13" ht="14.25" customHeight="1" x14ac:dyDescent="0.2">
      <c r="A19" s="181"/>
      <c r="B19" s="207" t="s">
        <v>75</v>
      </c>
      <c r="C19" s="207"/>
      <c r="D19" s="50"/>
      <c r="E19" s="51"/>
      <c r="F19" s="49"/>
      <c r="G19" s="52"/>
      <c r="H19" s="53" t="s">
        <v>68</v>
      </c>
      <c r="I19" s="27"/>
      <c r="J19" s="27"/>
      <c r="K19" s="182"/>
    </row>
    <row r="20" spans="1:13" ht="14.25" customHeight="1" x14ac:dyDescent="0.2">
      <c r="A20" s="53"/>
      <c r="B20" s="267" t="s">
        <v>78</v>
      </c>
      <c r="C20" s="267"/>
      <c r="D20" s="26"/>
      <c r="E20" s="207" t="s">
        <v>74</v>
      </c>
      <c r="F20" s="207"/>
      <c r="G20" s="54"/>
      <c r="H20" s="55"/>
      <c r="I20" s="27"/>
      <c r="J20" s="27"/>
      <c r="K20" s="57"/>
    </row>
    <row r="21" spans="1:13" ht="37.5" customHeight="1" x14ac:dyDescent="0.2">
      <c r="A21" s="183"/>
      <c r="B21" s="56"/>
      <c r="C21" s="56"/>
      <c r="D21" s="26"/>
      <c r="E21" s="26"/>
      <c r="F21" s="27"/>
      <c r="G21" s="57"/>
      <c r="H21" s="55"/>
      <c r="I21" s="27"/>
      <c r="J21" s="27"/>
      <c r="K21" s="57"/>
    </row>
    <row r="22" spans="1:13" ht="13.5" customHeight="1" x14ac:dyDescent="0.2">
      <c r="A22" s="184"/>
      <c r="B22" s="207" t="s">
        <v>76</v>
      </c>
      <c r="C22" s="207"/>
      <c r="D22" s="58"/>
      <c r="E22" s="58"/>
      <c r="F22" s="59"/>
      <c r="G22" s="57"/>
      <c r="H22" s="55"/>
      <c r="I22" s="27"/>
      <c r="J22" s="27"/>
      <c r="K22" s="57"/>
    </row>
    <row r="23" spans="1:13" ht="14.25" customHeight="1" x14ac:dyDescent="0.2">
      <c r="A23" s="185"/>
      <c r="B23" s="267" t="s">
        <v>77</v>
      </c>
      <c r="C23" s="267"/>
      <c r="D23" s="60"/>
      <c r="E23" s="60"/>
      <c r="F23" s="27"/>
      <c r="G23" s="57"/>
      <c r="H23" s="55"/>
      <c r="I23" s="27"/>
      <c r="J23" s="27"/>
      <c r="K23" s="57"/>
    </row>
    <row r="24" spans="1:13" ht="14.1" customHeight="1" x14ac:dyDescent="0.2">
      <c r="A24" s="55"/>
      <c r="B24" s="27"/>
      <c r="C24" s="27"/>
      <c r="D24" s="26"/>
      <c r="E24" s="26"/>
      <c r="F24" s="27"/>
      <c r="G24" s="27"/>
      <c r="H24" s="55"/>
      <c r="I24" s="27"/>
      <c r="J24" s="27"/>
      <c r="K24" s="57"/>
    </row>
    <row r="25" spans="1:13" x14ac:dyDescent="0.2">
      <c r="A25" s="186"/>
      <c r="B25" s="187"/>
      <c r="C25" s="187"/>
      <c r="D25" s="188"/>
      <c r="E25" s="188"/>
      <c r="F25" s="187"/>
      <c r="G25" s="187"/>
      <c r="H25" s="187"/>
      <c r="I25" s="187"/>
      <c r="J25" s="187"/>
      <c r="K25" s="189"/>
    </row>
  </sheetData>
  <mergeCells count="21">
    <mergeCell ref="A1:K1"/>
    <mergeCell ref="B19:C19"/>
    <mergeCell ref="A15:C16"/>
    <mergeCell ref="B20:C20"/>
    <mergeCell ref="E20:F20"/>
    <mergeCell ref="A7:C7"/>
    <mergeCell ref="D7:H7"/>
    <mergeCell ref="I7:K7"/>
    <mergeCell ref="A3:K3"/>
    <mergeCell ref="A5:K5"/>
    <mergeCell ref="A6:C6"/>
    <mergeCell ref="D6:H6"/>
    <mergeCell ref="I6:K6"/>
    <mergeCell ref="B22:C22"/>
    <mergeCell ref="B23:C23"/>
    <mergeCell ref="B9:B10"/>
    <mergeCell ref="C9:C10"/>
    <mergeCell ref="B11:B12"/>
    <mergeCell ref="C11:C12"/>
    <mergeCell ref="B13:B14"/>
    <mergeCell ref="C13:C14"/>
  </mergeCells>
  <printOptions horizontalCentered="1"/>
  <pageMargins left="0.39370078740157483" right="0.19685039370078741" top="0.59055118110236227" bottom="0.19685039370078741" header="0.19685039370078741" footer="0"/>
  <pageSetup paperSize="9" scale="67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6146" r:id="rId4">
          <objectPr defaultSize="0" autoPict="0" r:id="rId5">
            <anchor moveWithCells="1" sizeWithCells="1">
              <from>
                <xdr:col>0</xdr:col>
                <xdr:colOff>304800</xdr:colOff>
                <xdr:row>0</xdr:row>
                <xdr:rowOff>66675</xdr:rowOff>
              </from>
              <to>
                <xdr:col>1</xdr:col>
                <xdr:colOff>66675</xdr:colOff>
                <xdr:row>0</xdr:row>
                <xdr:rowOff>647700</xdr:rowOff>
              </to>
            </anchor>
          </objectPr>
        </oleObject>
      </mc:Choice>
      <mc:Fallback>
        <oleObject shapeId="614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BreakPreview" topLeftCell="A16" zoomScaleSheetLayoutView="100" workbookViewId="0">
      <selection activeCell="J2" sqref="J2"/>
    </sheetView>
  </sheetViews>
  <sheetFormatPr defaultRowHeight="12.75" x14ac:dyDescent="0.2"/>
  <cols>
    <col min="1" max="2" width="9.140625" style="143"/>
    <col min="3" max="3" width="21" style="143" customWidth="1"/>
    <col min="4" max="4" width="25.28515625" style="143" customWidth="1"/>
    <col min="5" max="6" width="9.140625" style="143"/>
    <col min="7" max="7" width="34.7109375" style="143" customWidth="1"/>
    <col min="8" max="16384" width="9.140625" style="143"/>
  </cols>
  <sheetData>
    <row r="1" spans="1:7" ht="13.5" thickBot="1" x14ac:dyDescent="0.25"/>
    <row r="2" spans="1:7" ht="72.75" customHeight="1" thickBot="1" x14ac:dyDescent="0.25">
      <c r="B2" s="328" t="s">
        <v>58</v>
      </c>
      <c r="C2" s="329"/>
      <c r="D2" s="329"/>
      <c r="E2" s="329"/>
      <c r="F2" s="329"/>
      <c r="G2" s="330"/>
    </row>
    <row r="3" spans="1:7" ht="13.5" thickBot="1" x14ac:dyDescent="0.25">
      <c r="B3" s="331" t="s">
        <v>103</v>
      </c>
      <c r="C3" s="332"/>
      <c r="D3" s="332"/>
      <c r="E3" s="332"/>
      <c r="F3" s="332"/>
      <c r="G3" s="333"/>
    </row>
    <row r="4" spans="1:7" x14ac:dyDescent="0.2">
      <c r="B4" s="144" t="s">
        <v>104</v>
      </c>
      <c r="C4" s="334" t="s">
        <v>105</v>
      </c>
      <c r="D4" s="334"/>
      <c r="E4" s="334"/>
      <c r="F4" s="334"/>
      <c r="G4" s="335"/>
    </row>
    <row r="5" spans="1:7" x14ac:dyDescent="0.2">
      <c r="B5" s="307" t="s">
        <v>106</v>
      </c>
      <c r="C5" s="324"/>
      <c r="D5" s="324"/>
      <c r="E5" s="324"/>
      <c r="F5" s="324"/>
      <c r="G5" s="336"/>
    </row>
    <row r="6" spans="1:7" x14ac:dyDescent="0.2">
      <c r="A6" s="145"/>
      <c r="B6" s="337" t="s">
        <v>107</v>
      </c>
      <c r="C6" s="338"/>
      <c r="D6" s="338"/>
      <c r="E6" s="338"/>
      <c r="F6" s="338"/>
      <c r="G6" s="339"/>
    </row>
    <row r="7" spans="1:7" x14ac:dyDescent="0.2">
      <c r="B7" s="146"/>
      <c r="C7" s="308" t="s">
        <v>108</v>
      </c>
      <c r="D7" s="325"/>
      <c r="E7" s="147" t="s">
        <v>109</v>
      </c>
      <c r="F7" s="326" t="s">
        <v>141</v>
      </c>
      <c r="G7" s="327"/>
    </row>
    <row r="8" spans="1:7" x14ac:dyDescent="0.2">
      <c r="B8" s="146"/>
      <c r="C8" s="307" t="s">
        <v>138</v>
      </c>
      <c r="D8" s="308"/>
      <c r="E8" s="147" t="s">
        <v>139</v>
      </c>
      <c r="F8" s="309">
        <v>100</v>
      </c>
      <c r="G8" s="310"/>
    </row>
    <row r="9" spans="1:7" x14ac:dyDescent="0.2">
      <c r="B9" s="146"/>
      <c r="C9" s="303" t="s">
        <v>110</v>
      </c>
      <c r="D9" s="304"/>
      <c r="E9" s="148" t="s">
        <v>111</v>
      </c>
      <c r="F9" s="305">
        <v>4.6699999999999998E-2</v>
      </c>
      <c r="G9" s="306"/>
    </row>
    <row r="10" spans="1:7" x14ac:dyDescent="0.2">
      <c r="B10" s="146"/>
      <c r="C10" s="303" t="s">
        <v>112</v>
      </c>
      <c r="D10" s="304"/>
      <c r="E10" s="148" t="s">
        <v>113</v>
      </c>
      <c r="F10" s="305">
        <v>8.6900000000000005E-2</v>
      </c>
      <c r="G10" s="306"/>
    </row>
    <row r="11" spans="1:7" x14ac:dyDescent="0.2">
      <c r="B11" s="146"/>
      <c r="C11" s="311" t="s">
        <v>114</v>
      </c>
      <c r="D11" s="303"/>
      <c r="E11" s="148" t="s">
        <v>115</v>
      </c>
      <c r="F11" s="312">
        <v>3.7000000000000002E-3</v>
      </c>
      <c r="G11" s="313"/>
    </row>
    <row r="12" spans="1:7" x14ac:dyDescent="0.2">
      <c r="B12" s="146"/>
      <c r="C12" s="303" t="s">
        <v>140</v>
      </c>
      <c r="D12" s="304"/>
      <c r="F12" s="305">
        <v>1.7100000000000001E-2</v>
      </c>
      <c r="G12" s="306"/>
    </row>
    <row r="13" spans="1:7" x14ac:dyDescent="0.2">
      <c r="B13" s="146"/>
      <c r="C13" s="311" t="s">
        <v>116</v>
      </c>
      <c r="D13" s="303"/>
      <c r="E13" s="148" t="s">
        <v>117</v>
      </c>
      <c r="F13" s="312">
        <v>3.0000000000000001E-3</v>
      </c>
      <c r="G13" s="313"/>
    </row>
    <row r="14" spans="1:7" x14ac:dyDescent="0.2">
      <c r="B14" s="146"/>
      <c r="C14" s="303" t="s">
        <v>118</v>
      </c>
      <c r="D14" s="304"/>
      <c r="E14" s="148" t="s">
        <v>119</v>
      </c>
      <c r="F14" s="305">
        <v>4.4000000000000003E-3</v>
      </c>
      <c r="G14" s="306"/>
    </row>
    <row r="15" spans="1:7" x14ac:dyDescent="0.2">
      <c r="B15" s="146"/>
      <c r="C15" s="303" t="s">
        <v>120</v>
      </c>
      <c r="D15" s="304"/>
      <c r="E15" s="148" t="s">
        <v>121</v>
      </c>
      <c r="F15" s="305">
        <v>9.7000000000000003E-3</v>
      </c>
      <c r="G15" s="306"/>
    </row>
    <row r="16" spans="1:7" x14ac:dyDescent="0.2">
      <c r="B16" s="146"/>
      <c r="C16" s="303" t="s">
        <v>122</v>
      </c>
      <c r="D16" s="304"/>
      <c r="E16" s="148" t="s">
        <v>123</v>
      </c>
      <c r="F16" s="305">
        <v>7.1499999999999994E-2</v>
      </c>
      <c r="G16" s="306"/>
    </row>
    <row r="17" spans="1:9" x14ac:dyDescent="0.2">
      <c r="B17" s="146"/>
      <c r="C17" s="303" t="s">
        <v>124</v>
      </c>
      <c r="D17" s="304"/>
      <c r="E17" s="148" t="s">
        <v>124</v>
      </c>
      <c r="F17" s="305">
        <v>3.5000000000000003E-2</v>
      </c>
      <c r="G17" s="306"/>
    </row>
    <row r="18" spans="1:9" x14ac:dyDescent="0.2">
      <c r="B18" s="146"/>
      <c r="C18" s="303" t="s">
        <v>125</v>
      </c>
      <c r="D18" s="304"/>
      <c r="E18" s="148" t="s">
        <v>125</v>
      </c>
      <c r="F18" s="305">
        <v>6.4999999999999997E-3</v>
      </c>
      <c r="G18" s="306"/>
    </row>
    <row r="19" spans="1:9" x14ac:dyDescent="0.2">
      <c r="B19" s="146"/>
      <c r="C19" s="303" t="s">
        <v>126</v>
      </c>
      <c r="D19" s="304"/>
      <c r="E19" s="149" t="s">
        <v>126</v>
      </c>
      <c r="F19" s="320">
        <v>0.03</v>
      </c>
      <c r="G19" s="321"/>
    </row>
    <row r="20" spans="1:9" x14ac:dyDescent="0.2">
      <c r="B20" s="146"/>
      <c r="C20" s="303" t="s">
        <v>127</v>
      </c>
      <c r="D20" s="304"/>
      <c r="E20" s="148" t="s">
        <v>128</v>
      </c>
      <c r="F20" s="320">
        <v>4.4999999999999998E-2</v>
      </c>
      <c r="G20" s="321"/>
    </row>
    <row r="21" spans="1:9" x14ac:dyDescent="0.2">
      <c r="B21" s="146"/>
      <c r="C21" s="322" t="s">
        <v>129</v>
      </c>
      <c r="D21" s="323" t="s">
        <v>130</v>
      </c>
      <c r="E21" s="324"/>
      <c r="F21" s="308"/>
      <c r="G21" s="297">
        <v>-1</v>
      </c>
    </row>
    <row r="22" spans="1:9" x14ac:dyDescent="0.2">
      <c r="B22" s="146"/>
      <c r="C22" s="322"/>
      <c r="D22" s="298" t="s">
        <v>131</v>
      </c>
      <c r="E22" s="299"/>
      <c r="F22" s="300"/>
      <c r="G22" s="297"/>
    </row>
    <row r="23" spans="1:9" x14ac:dyDescent="0.2">
      <c r="B23" s="150"/>
      <c r="C23" s="314" t="s">
        <v>132</v>
      </c>
      <c r="D23" s="315"/>
      <c r="E23" s="305">
        <f>(1+(F9+F13+F14+F15))*(1+F11)*(1+F10)</f>
        <v>1.1605223236140001</v>
      </c>
      <c r="F23" s="305"/>
      <c r="G23" s="306"/>
    </row>
    <row r="24" spans="1:9" x14ac:dyDescent="0.2">
      <c r="B24" s="151"/>
      <c r="C24" s="314" t="s">
        <v>133</v>
      </c>
      <c r="D24" s="315"/>
      <c r="E24" s="305">
        <f>(1-(F16+F20))</f>
        <v>0.88349999999999995</v>
      </c>
      <c r="F24" s="305"/>
      <c r="G24" s="306"/>
    </row>
    <row r="25" spans="1:9" ht="13.5" thickBot="1" x14ac:dyDescent="0.25">
      <c r="B25" s="152"/>
      <c r="C25" s="316" t="s">
        <v>134</v>
      </c>
      <c r="D25" s="317"/>
      <c r="E25" s="318">
        <f>(E23/E24)-1</f>
        <v>0.31355101710696109</v>
      </c>
      <c r="F25" s="318"/>
      <c r="G25" s="319"/>
    </row>
    <row r="27" spans="1:9" x14ac:dyDescent="0.2">
      <c r="A27" s="296" t="s">
        <v>135</v>
      </c>
      <c r="B27" s="296"/>
      <c r="C27" s="296"/>
      <c r="D27" s="296"/>
      <c r="E27" s="296"/>
      <c r="F27" s="296"/>
      <c r="G27" s="296"/>
      <c r="H27" s="296"/>
      <c r="I27" s="153"/>
    </row>
    <row r="28" spans="1:9" x14ac:dyDescent="0.2">
      <c r="B28" s="154"/>
      <c r="C28" s="154"/>
      <c r="D28" s="154"/>
      <c r="E28" s="154"/>
      <c r="F28" s="155"/>
      <c r="G28" s="153"/>
      <c r="H28" s="153"/>
      <c r="I28" s="153"/>
    </row>
    <row r="29" spans="1:9" x14ac:dyDescent="0.2">
      <c r="B29" s="156"/>
      <c r="C29" s="154"/>
      <c r="D29" s="154"/>
      <c r="E29" s="154"/>
      <c r="F29" s="155"/>
      <c r="G29" s="153"/>
      <c r="H29" s="153"/>
      <c r="I29" s="153"/>
    </row>
    <row r="30" spans="1:9" x14ac:dyDescent="0.2">
      <c r="A30" s="157" t="s">
        <v>136</v>
      </c>
      <c r="B30" s="154"/>
      <c r="C30" s="154"/>
      <c r="D30" s="154"/>
      <c r="E30" s="155"/>
      <c r="F30" s="153"/>
      <c r="G30" s="153"/>
      <c r="H30" s="153"/>
      <c r="I30" s="158"/>
    </row>
    <row r="31" spans="1:9" x14ac:dyDescent="0.2">
      <c r="A31" s="301" t="s">
        <v>137</v>
      </c>
      <c r="B31" s="301"/>
      <c r="C31" s="301"/>
      <c r="D31" s="301"/>
      <c r="E31" s="301"/>
      <c r="F31" s="301"/>
      <c r="G31" s="301"/>
      <c r="H31" s="301"/>
      <c r="I31" s="159"/>
    </row>
    <row r="32" spans="1:9" x14ac:dyDescent="0.2">
      <c r="A32" s="302" t="s">
        <v>101</v>
      </c>
      <c r="B32" s="302"/>
      <c r="C32" s="302"/>
      <c r="D32" s="302"/>
      <c r="E32" s="302"/>
      <c r="F32" s="302"/>
      <c r="G32" s="302"/>
      <c r="H32" s="302"/>
      <c r="I32" s="160"/>
    </row>
    <row r="33" spans="1:9" x14ac:dyDescent="0.2">
      <c r="A33" s="295" t="s">
        <v>78</v>
      </c>
      <c r="B33" s="295"/>
      <c r="C33" s="295"/>
      <c r="D33" s="295"/>
      <c r="E33" s="295"/>
      <c r="F33" s="295"/>
      <c r="G33" s="295"/>
      <c r="H33" s="295"/>
      <c r="I33" s="161"/>
    </row>
    <row r="34" spans="1:9" x14ac:dyDescent="0.2">
      <c r="A34" s="296" t="s">
        <v>102</v>
      </c>
      <c r="B34" s="296"/>
      <c r="C34" s="296"/>
      <c r="D34" s="296"/>
      <c r="E34" s="296"/>
      <c r="F34" s="296"/>
      <c r="G34" s="296"/>
      <c r="H34" s="296"/>
    </row>
  </sheetData>
  <mergeCells count="48">
    <mergeCell ref="C7:D7"/>
    <mergeCell ref="F7:G7"/>
    <mergeCell ref="B2:G2"/>
    <mergeCell ref="B3:G3"/>
    <mergeCell ref="C4:G4"/>
    <mergeCell ref="B5:G5"/>
    <mergeCell ref="B6:G6"/>
    <mergeCell ref="C14:D14"/>
    <mergeCell ref="F14:G14"/>
    <mergeCell ref="C24:D24"/>
    <mergeCell ref="E24:G24"/>
    <mergeCell ref="C25:D25"/>
    <mergeCell ref="E25:G25"/>
    <mergeCell ref="C19:D19"/>
    <mergeCell ref="F19:G19"/>
    <mergeCell ref="C20:D20"/>
    <mergeCell ref="F20:G20"/>
    <mergeCell ref="C21:C22"/>
    <mergeCell ref="D21:F21"/>
    <mergeCell ref="C15:D15"/>
    <mergeCell ref="F15:G15"/>
    <mergeCell ref="C23:D23"/>
    <mergeCell ref="E23:G23"/>
    <mergeCell ref="C8:D8"/>
    <mergeCell ref="F8:G8"/>
    <mergeCell ref="C11:D11"/>
    <mergeCell ref="F11:G11"/>
    <mergeCell ref="C13:D13"/>
    <mergeCell ref="F13:G13"/>
    <mergeCell ref="C9:D9"/>
    <mergeCell ref="F9:G9"/>
    <mergeCell ref="C10:D10"/>
    <mergeCell ref="F10:G10"/>
    <mergeCell ref="C12:D12"/>
    <mergeCell ref="F12:G12"/>
    <mergeCell ref="C16:D16"/>
    <mergeCell ref="F16:G16"/>
    <mergeCell ref="C17:D17"/>
    <mergeCell ref="F17:G17"/>
    <mergeCell ref="C18:D18"/>
    <mergeCell ref="F18:G18"/>
    <mergeCell ref="A33:H33"/>
    <mergeCell ref="A34:H34"/>
    <mergeCell ref="G21:G22"/>
    <mergeCell ref="D22:F22"/>
    <mergeCell ref="A27:H27"/>
    <mergeCell ref="A31:H31"/>
    <mergeCell ref="A32:H32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0</xdr:col>
                <xdr:colOff>409575</xdr:colOff>
                <xdr:row>0</xdr:row>
                <xdr:rowOff>142875</xdr:rowOff>
              </from>
              <to>
                <xdr:col>1</xdr:col>
                <xdr:colOff>190500</xdr:colOff>
                <xdr:row>1</xdr:row>
                <xdr:rowOff>400050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Planilha Orcamentaria</vt:lpstr>
      <vt:lpstr>Memoria de calculo</vt:lpstr>
      <vt:lpstr>CRONOGRAMA FISICO FINANCEIRO</vt:lpstr>
      <vt:lpstr>BDI</vt:lpstr>
      <vt:lpstr>'CRONOGRAMA FISICO FINANCEIRO'!Area_de_impressao</vt:lpstr>
      <vt:lpstr>'Memoria de calculo'!Area_de_impressao</vt:lpstr>
      <vt:lpstr>'Planilha Orcamentaria'!Area_de_impressao</vt:lpstr>
      <vt:lpstr>'Memoria de calculo'!Titulos_de_impressao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notebook</cp:lastModifiedBy>
  <cp:lastPrinted>2020-08-12T13:10:04Z</cp:lastPrinted>
  <dcterms:created xsi:type="dcterms:W3CDTF">2006-09-22T13:55:22Z</dcterms:created>
  <dcterms:modified xsi:type="dcterms:W3CDTF">2020-08-17T11:46:22Z</dcterms:modified>
</cp:coreProperties>
</file>