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 activeTab="2"/>
  </bookViews>
  <sheets>
    <sheet name="Planilha Orcamentaria" sheetId="5" r:id="rId1"/>
    <sheet name="Memoria de calculo" sheetId="10" r:id="rId2"/>
    <sheet name="BDI" sheetId="11" r:id="rId3"/>
  </sheets>
  <definedNames>
    <definedName name="_xlnm.Print_Area" localSheetId="1">'Memoria de calculo'!$A$1:$E$131</definedName>
    <definedName name="_xlnm.Print_Area" localSheetId="0">'Planilha Orcamentaria'!$A$1:$H$153</definedName>
    <definedName name="_xlnm.Print_Titles" localSheetId="1">'Memoria de calculo'!$9:$9</definedName>
  </definedNames>
  <calcPr calcId="124519"/>
</workbook>
</file>

<file path=xl/calcChain.xml><?xml version="1.0" encoding="utf-8"?>
<calcChain xmlns="http://schemas.openxmlformats.org/spreadsheetml/2006/main">
  <c r="E12" i="10"/>
  <c r="E15" i="5"/>
  <c r="E22" i="11" l="1"/>
  <c r="E21"/>
  <c r="E23" s="1"/>
  <c r="O112" i="10"/>
  <c r="L112"/>
  <c r="E122" s="1"/>
  <c r="L111"/>
  <c r="E113" s="1"/>
  <c r="E114" s="1"/>
  <c r="O76"/>
  <c r="L76"/>
  <c r="E86" s="1"/>
  <c r="L75"/>
  <c r="E77" s="1"/>
  <c r="E78" s="1"/>
  <c r="O58"/>
  <c r="L58"/>
  <c r="E68" s="1"/>
  <c r="L57"/>
  <c r="E59" s="1"/>
  <c r="E60" s="1"/>
  <c r="E50"/>
  <c r="O40"/>
  <c r="L40"/>
  <c r="L41" s="1"/>
  <c r="L39"/>
  <c r="E41" s="1"/>
  <c r="E42" s="1"/>
  <c r="E104"/>
  <c r="E95"/>
  <c r="E96" s="1"/>
  <c r="K91"/>
  <c r="K92" s="1"/>
  <c r="O22"/>
  <c r="L22"/>
  <c r="E32" s="1"/>
  <c r="L21"/>
  <c r="E23" s="1"/>
  <c r="E24" s="1"/>
  <c r="F13"/>
  <c r="E120" l="1"/>
  <c r="E118"/>
  <c r="E116"/>
  <c r="F120"/>
  <c r="E119"/>
  <c r="E117"/>
  <c r="E115"/>
  <c r="L113"/>
  <c r="E84"/>
  <c r="E82"/>
  <c r="E80"/>
  <c r="F84"/>
  <c r="E83"/>
  <c r="E81"/>
  <c r="E79"/>
  <c r="L77"/>
  <c r="E66"/>
  <c r="E64"/>
  <c r="E62"/>
  <c r="F66"/>
  <c r="E65"/>
  <c r="E63"/>
  <c r="E61"/>
  <c r="L59"/>
  <c r="F48"/>
  <c r="E47"/>
  <c r="E45"/>
  <c r="E43"/>
  <c r="E48"/>
  <c r="E46"/>
  <c r="E44"/>
  <c r="E37"/>
  <c r="E35"/>
  <c r="E102"/>
  <c r="E100"/>
  <c r="E98"/>
  <c r="E101"/>
  <c r="E99"/>
  <c r="E97"/>
  <c r="E91"/>
  <c r="E92" s="1"/>
  <c r="E93" s="1"/>
  <c r="E89"/>
  <c r="E30"/>
  <c r="E28"/>
  <c r="E26"/>
  <c r="F30"/>
  <c r="E29"/>
  <c r="E27"/>
  <c r="E25"/>
  <c r="L23"/>
  <c r="K17" i="5"/>
  <c r="E109" i="10" l="1"/>
  <c r="E107"/>
  <c r="E73"/>
  <c r="E71"/>
  <c r="E55"/>
  <c r="E53"/>
  <c r="G41"/>
  <c r="F38"/>
  <c r="E38" s="1"/>
  <c r="F39" s="1"/>
  <c r="E39" s="1"/>
  <c r="E36"/>
  <c r="E40"/>
  <c r="E94"/>
  <c r="E90"/>
  <c r="E19"/>
  <c r="E17"/>
  <c r="G56" i="5"/>
  <c r="G137"/>
  <c r="H137" s="1"/>
  <c r="H138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21"/>
  <c r="H121" s="1"/>
  <c r="H135" s="1"/>
  <c r="G139"/>
  <c r="H139" s="1"/>
  <c r="G117"/>
  <c r="H117" s="1"/>
  <c r="H118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01"/>
  <c r="H101" s="1"/>
  <c r="G96"/>
  <c r="H96" s="1"/>
  <c r="G97"/>
  <c r="H97" s="1"/>
  <c r="H98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76"/>
  <c r="H76" s="1"/>
  <c r="G77"/>
  <c r="H77" s="1"/>
  <c r="H78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H56"/>
  <c r="G57"/>
  <c r="H57" s="1"/>
  <c r="H58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41"/>
  <c r="H41" s="1"/>
  <c r="G37"/>
  <c r="H37" s="1"/>
  <c r="H38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21"/>
  <c r="H21" s="1"/>
  <c r="G15"/>
  <c r="H15" s="1"/>
  <c r="G17"/>
  <c r="H17" s="1"/>
  <c r="G14"/>
  <c r="H14" s="1"/>
  <c r="E112" i="10" l="1"/>
  <c r="E108"/>
  <c r="G113"/>
  <c r="F110"/>
  <c r="E110" s="1"/>
  <c r="F111" s="1"/>
  <c r="E111" s="1"/>
  <c r="E76"/>
  <c r="E72"/>
  <c r="G77"/>
  <c r="F74"/>
  <c r="E74" s="1"/>
  <c r="F75" s="1"/>
  <c r="E75" s="1"/>
  <c r="E58"/>
  <c r="E54"/>
  <c r="G59"/>
  <c r="F56"/>
  <c r="E56" s="1"/>
  <c r="F57" s="1"/>
  <c r="E57" s="1"/>
  <c r="E22"/>
  <c r="E18"/>
  <c r="G23"/>
  <c r="F20"/>
  <c r="E20" s="1"/>
  <c r="F21" s="1"/>
  <c r="E21" s="1"/>
  <c r="H115" i="5"/>
  <c r="H35"/>
  <c r="H95"/>
  <c r="H55"/>
  <c r="H75"/>
  <c r="G20"/>
  <c r="H20" s="1"/>
  <c r="F16" l="1"/>
  <c r="G16" s="1"/>
  <c r="H16" s="1"/>
  <c r="H18" s="1"/>
  <c r="H140" l="1"/>
</calcChain>
</file>

<file path=xl/sharedStrings.xml><?xml version="1.0" encoding="utf-8"?>
<sst xmlns="http://schemas.openxmlformats.org/spreadsheetml/2006/main" count="953" uniqueCount="339">
  <si>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</si>
  <si>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</si>
  <si>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</si>
  <si>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</si>
  <si>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</si>
  <si>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</si>
  <si>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</si>
  <si>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</si>
  <si>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</si>
  <si>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</si>
  <si>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</si>
  <si>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</si>
  <si>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</si>
  <si>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</si>
  <si>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</si>
  <si>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INSTALAÇÕES INICIAIS DA OBRA</t>
  </si>
  <si>
    <t>1.2</t>
  </si>
  <si>
    <t>IIO-PLA-005</t>
  </si>
  <si>
    <t>OBRAS VIÁRIAS</t>
  </si>
  <si>
    <t>2.1</t>
  </si>
  <si>
    <t>OBR-VIA-130</t>
  </si>
  <si>
    <t>REGULARIZAÇÃO DO SUBLEITO COM PROCTOR INTERMEDIÁRIO</t>
  </si>
  <si>
    <t>OBR-VIA-145</t>
  </si>
  <si>
    <t>OBR-VIA-345</t>
  </si>
  <si>
    <t>OBR-VIA-435</t>
  </si>
  <si>
    <t>OBR-VIA-165</t>
  </si>
  <si>
    <t>OBR-VIA-160</t>
  </si>
  <si>
    <t>3.1</t>
  </si>
  <si>
    <t>4.1</t>
  </si>
  <si>
    <t>TOTAL GERAL DA OBRA</t>
  </si>
  <si>
    <t xml:space="preserve">FOLHA Nº: </t>
  </si>
  <si>
    <t>PREFEITURA: PREFEITURA MUNICIPAL DE CORAÇÃO DE JESUS</t>
  </si>
  <si>
    <t>REGIÃO/MÊS DE REFERÊNCIA:  SETOP/NORTE 08/2019 (DESONERADO) - SINAPI 11/2019 (DESONERADO)</t>
  </si>
  <si>
    <t>PRAZO DE EXECUÇÃO: 06 MESES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</si>
  <si>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</si>
  <si>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unid.</t>
  </si>
  <si>
    <t xml:space="preserve">78472 </t>
  </si>
  <si>
    <t>SERVICOS TOPOGRAFICOS PARA PAVIMENTACAO, INCLUSIVE NOTA DE SERVICOS, ACOMPANHAMENTO E GREIDE</t>
  </si>
  <si>
    <t>m²</t>
  </si>
  <si>
    <t>1.3</t>
  </si>
  <si>
    <t>MOB-DES-020</t>
  </si>
  <si>
    <t>MOBILIZAÇÃO E DESMOBILIZAÇÃO DE OBRA - PARA OBRAS EXECUTADAS EM CENTROS URBANOS OU PRÓXIMOS DE CENTROS URBANOS - 0,5% DO TOTAL</t>
  </si>
  <si>
    <t>%</t>
  </si>
  <si>
    <t>1.4</t>
  </si>
  <si>
    <t>IIO-BAR-005</t>
  </si>
  <si>
    <t>BARRACÃO PESSOAL - VESTIÁRIO TIPO I, A = 25,41 M2 (OBRA DE PEQUENO PORTE, EFETIVO ATÉ 30 HOMENS) - PADRÃO DEOP</t>
  </si>
  <si>
    <t>1.0</t>
  </si>
  <si>
    <t>2.0</t>
  </si>
  <si>
    <t>2.1.1</t>
  </si>
  <si>
    <t>OBR-VIA-015</t>
  </si>
  <si>
    <t>2.1.2</t>
  </si>
  <si>
    <t xml:space="preserve">TRA-CAM-020 </t>
  </si>
  <si>
    <t>2.1.3</t>
  </si>
  <si>
    <t>2.1.4</t>
  </si>
  <si>
    <t>4743</t>
  </si>
  <si>
    <t>2.1.5</t>
  </si>
  <si>
    <t>OBR-VIA-320</t>
  </si>
  <si>
    <t>2.1.6</t>
  </si>
  <si>
    <t>2.1.7</t>
  </si>
  <si>
    <t>2.1.8</t>
  </si>
  <si>
    <t>2.1.9</t>
  </si>
  <si>
    <t>2.1.10</t>
  </si>
  <si>
    <t>2.1.11</t>
  </si>
  <si>
    <t>2.1.12</t>
  </si>
  <si>
    <t>OBR-VIA-370</t>
  </si>
  <si>
    <t>2.1.13</t>
  </si>
  <si>
    <t>OBR-VIA-405</t>
  </si>
  <si>
    <t>2.1.14</t>
  </si>
  <si>
    <t>73759/002</t>
  </si>
  <si>
    <t>ESCAVAÇÃO E CARGA COM TRATOR E CARREGADEIRA (MATERIAL DE 1ª CATEGORIA)</t>
  </si>
  <si>
    <t>m³</t>
  </si>
  <si>
    <t xml:space="preserve">TRANSPORTE DE MATERIAL DE QUALQUER NATUREZA EM
CAMINHÃO DMT &gt; 5 KM (DENTRO DO PERÍMETRO URBANO)
</t>
  </si>
  <si>
    <t>m³xKm</t>
  </si>
  <si>
    <t>AQUISIÇÃO DO MATERIAL DE BASE (CASCALHO REGIONAL)</t>
  </si>
  <si>
    <t xml:space="preserve">TRANSPORTE DE MATERIAL DE JAZIDA PARA CONSERVAÇÃO.
DISTÂNCIA MÉDIA DE TRANSPORTE DE 10,10 A 15,00 KM </t>
  </si>
  <si>
    <t>EXECUÇÃO DE BASE DE SOLO ESTABILIZADO GRANULOMETRICAMENTE SEM MISTURA COM PROCTOR INTERMEDIÁRIO, INCLUINDO ESCAVAÇÃO, CARGA,DESCARGA, ESPALHAMENTO E COMPACTAÇÃO DO MATERIAL, EXCLUSIVE AQUISIÇÃO E TRANSPORTE DO MATERIAL</t>
  </si>
  <si>
    <t>EXECUÇÃO DE IMPRIMAÇÃO COM MATERIAL BETUMINOSO (CM-30), INCLUINDO FORNECIMENTO E TRANSPORTE DO MATERIAL BETUMINOSO DENTRO DO CANTEIRO DE OBRAS, EXCLUSIVE TRANSPORTE DO MATERIAL BETUMINOSO ATÉ A USINA</t>
  </si>
  <si>
    <t>EXECUÇÃO DE PINTURA DE LIGAÇÃO COM MATERIAL BETUMINOSO (RR-1C), INCLUINDO FORNECIMENTO E TRANSPORTE DO MATERIAL BETUMINOSO DENTRO DO CANTEIRO DE OBRAS, EXCLUSIVE TRANSPORTE DO MATERIAL BETUMINOSO ATÉ A USINA</t>
  </si>
  <si>
    <t>TRANSPORTE DE MATERIAL DE QUALQUER NATUREZA DMT ACIMA DE 50 KM  (Betim à usina em Montes Claros DMT = 434,00Km)</t>
  </si>
  <si>
    <t>TxKm</t>
  </si>
  <si>
    <t>TRANSPORTE DE MATERIAL DE QUALQUER NATUREZA DMT ACIMA DE 50 KM (CM-30 + RR-1C) - (Transporte da refinaria ao local da  obra , DMT 550,00 km)</t>
  </si>
  <si>
    <t>TRANSPORTE DE AGREGADO DMT DE 0 A 10 KM (Mineradora até à Usina de PMF em Montes Claros - DMT = 2,80Km) - Brita</t>
  </si>
  <si>
    <t>TRANSPORTE DE AGREGADO DMT ACIMA DE 50 KM (Jazida em Coração de Jesus até a usina em Montes Claros DMT = 85,00Km) - Areia</t>
  </si>
  <si>
    <t>TRANSPORTE DE PMF/CBUQ PARA CONSERVAÇÃO DMT ACIMA DE 50 KM (Usina ao local da obra - DMT 86,00Km)</t>
  </si>
  <si>
    <t>PRE-MISTURADO A FRIO COM EMULSAO RM-1C, INCLUSO USINAGEM E APLICACAO,EXCLUSIVE TRANSPORTE</t>
  </si>
  <si>
    <t>2.2.0</t>
  </si>
  <si>
    <t>SERVIÇOS COMPLEMENTARES - DRENAGEM</t>
  </si>
  <si>
    <t>2.2.1</t>
  </si>
  <si>
    <t>DRE-SAR-025</t>
  </si>
  <si>
    <t>MEIO-FIO E SARJETA CONJUGADOS DE CONCRETO 15 MPA, 30 CM BASE X 26 CM MEIO-FIO 15X10CM X H=23CM), INCLUI ESCAVAÇÃO E ACERTO FAIXA 0,45M</t>
  </si>
  <si>
    <t>m</t>
  </si>
  <si>
    <t>4.0</t>
  </si>
  <si>
    <t>4.1.1</t>
  </si>
  <si>
    <t>4.1.2</t>
  </si>
  <si>
    <t>4.1.3</t>
  </si>
  <si>
    <t>4.1.4</t>
  </si>
  <si>
    <t>COTAÇÃO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</si>
  <si>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</si>
  <si>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</si>
  <si>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</si>
  <si>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</si>
  <si>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</si>
  <si>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</si>
  <si>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</si>
  <si>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</si>
  <si>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</si>
  <si>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</si>
  <si>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4.2.0</t>
  </si>
  <si>
    <t>4.2.1</t>
  </si>
  <si>
    <t>LOCAL:  TRECHOS DE RUAS URBANAS DE CORAÇÃO DE JESUS</t>
  </si>
  <si>
    <t>( X )</t>
  </si>
  <si>
    <t xml:space="preserve"> SUB TOTAL</t>
  </si>
  <si>
    <t>SUB TOTAL</t>
  </si>
  <si>
    <t>SUBTOTAL</t>
  </si>
  <si>
    <t>SUBTTOTAL</t>
  </si>
  <si>
    <t>PREFEITURA MUNICIPAL DE CORAÇÃO DE JESUS
ESTADO DE MINAS GERAIS</t>
  </si>
  <si>
    <t>3.0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</si>
  <si>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</si>
  <si>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</si>
  <si>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</si>
  <si>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</si>
  <si>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</si>
  <si>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</si>
  <si>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</si>
  <si>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</si>
  <si>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</si>
  <si>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</si>
  <si>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</si>
  <si>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</si>
  <si>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</si>
  <si>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</si>
  <si>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3.2.0</t>
  </si>
  <si>
    <t>3.2.1</t>
  </si>
  <si>
    <t>5.0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</si>
  <si>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</si>
  <si>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</si>
  <si>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</si>
  <si>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</si>
  <si>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</si>
  <si>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</si>
  <si>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</si>
  <si>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</si>
  <si>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</si>
  <si>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</si>
  <si>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</si>
  <si>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</si>
  <si>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</si>
  <si>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</si>
  <si>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</si>
  <si>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5.2.0</t>
  </si>
  <si>
    <t>5.2.1</t>
  </si>
  <si>
    <t>6.0</t>
  </si>
  <si>
    <t>6.1.0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</si>
  <si>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</si>
  <si>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</si>
  <si>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</si>
  <si>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</si>
  <si>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</si>
  <si>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</si>
  <si>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</si>
  <si>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</si>
  <si>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</si>
  <si>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</si>
  <si>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</si>
  <si>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</si>
  <si>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</si>
  <si>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</si>
  <si>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6.2.0</t>
  </si>
  <si>
    <t>6.2.1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</si>
  <si>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</si>
  <si>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</si>
  <si>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</si>
  <si>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</si>
  <si>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</si>
  <si>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</si>
  <si>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</si>
  <si>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</si>
  <si>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</si>
  <si>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</si>
  <si>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</si>
  <si>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</si>
  <si>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</si>
  <si>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</si>
  <si>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</si>
  <si>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</si>
  <si>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7.2.0</t>
  </si>
  <si>
    <t>7.2.1</t>
  </si>
  <si>
    <t>OBRA: PAVIMENTAÇÃO DE VIAS PUBLICAS EM PMF - ESPESSURA 3,00cm</t>
  </si>
  <si>
    <t>CREA-MG 201739/D</t>
  </si>
  <si>
    <t>JOSÉ RAMOS LAFETA NETO</t>
  </si>
  <si>
    <t>ROBSON ADALBERTO MOTA DIAS</t>
  </si>
  <si>
    <t>PREFEITO MUNICIPAL</t>
  </si>
  <si>
    <t>ENGENHEIRO CIVIL</t>
  </si>
  <si>
    <t>RUA TOMÉ DUARTE,  BAIRRO SANTA TEREZA</t>
  </si>
  <si>
    <t>RUA INHAZINHA MENDONÇA, BAIRRO SANTA TEREZA</t>
  </si>
  <si>
    <t>RUA JOÃO RIBEIRO, BAIRRO SANTA TEREZA</t>
  </si>
  <si>
    <t>RUA PADRE MAGALHÃES, BAIRRO SANTA TEREZA</t>
  </si>
  <si>
    <t>RUA 7, BAIRRO BURITI</t>
  </si>
  <si>
    <t>JOB SOARES, BAIRRO  BURITI</t>
  </si>
  <si>
    <t>MEMORIA DE CALCULO DE QUANTITATIVOS</t>
  </si>
  <si>
    <t>PREFEITURA MUNICIPAL DE CORAÇÃO DE JESUS</t>
  </si>
  <si>
    <t>OBRA: PAVIMENTAÇÃO DE VIAS PUBLICAS EM PMF - ESPESSURA 3,00 CM</t>
  </si>
  <si>
    <t>FORMULAS</t>
  </si>
  <si>
    <t>1.1.1</t>
  </si>
  <si>
    <t>1 PLACA DE OBRA TAMANHO PADRÃO -&gt; 3,00m X 1,50m</t>
  </si>
  <si>
    <t>1.1.2</t>
  </si>
  <si>
    <t>1.1.3</t>
  </si>
  <si>
    <t>Mobilização e desmobilização de obra em centros urbanos ou próximos de centros urbanos</t>
  </si>
  <si>
    <t>VERBA DE MOBILIZAÇÃO E DESMOBILIZAÇÃO DE OBRA (0,5% DO RECURSO TOTAL)</t>
  </si>
  <si>
    <t>vb</t>
  </si>
  <si>
    <t>1.1.4</t>
  </si>
  <si>
    <t>Barracão pessoal - vestiário tipo  I, A = 25,41m² (OBRA DE PEQUENO PORTE, EFETIVO ATÉ 30 HOMENS) - PADRÃO DEOP</t>
  </si>
  <si>
    <t>1 BARRACÃO DE OBRA PADRÃO - 25,41m²</t>
  </si>
  <si>
    <t>2.1.0</t>
  </si>
  <si>
    <t>ÁREA LOCADA VEZES EXPESSURA DE CORTE -987,49 x 0,15m</t>
  </si>
  <si>
    <t>TODA A ÁREA LOCADA CONFORME ITEM 1.2</t>
  </si>
  <si>
    <t>VOLUME DE MATERIAL VEZES PESO ESPEC. VEZES A DISTANCIA DA JAZIDA ATÉ A OBRA -&gt; 148,12m³ x 11,8km</t>
  </si>
  <si>
    <t>IDEM AO ITEM 2.1</t>
  </si>
  <si>
    <t>EXECUÇÃO DE IMPRIMAÇÃO COM MATERIAL BETUMINOSO (CM 30), INCLUINDO FORNECIMENTO E TRANSPORTE DO MATERIAL BETUMINOSO DENTRO DO CANTEIRO DE OBRAS, EXCLUSIVE TRANSPORTE DO MATERIAL BETUMINOSO ATÉ A USINA</t>
  </si>
  <si>
    <t xml:space="preserve">ÁREA DA PISTA DE ROLAMENTO </t>
  </si>
  <si>
    <t>IDEM AO ITEM 2.7</t>
  </si>
  <si>
    <r>
      <t>TRANSPORTE DE MATERIAL DE QUALQUER NATUREZA DMT ACIMA DE 50 KM  (Betim à usina em Montes Claros DMT =</t>
    </r>
    <r>
      <rPr>
        <sz val="10"/>
        <rFont val="Arial"/>
        <family val="2"/>
      </rPr>
      <t xml:space="preserve"> 434,00Km</t>
    </r>
    <r>
      <rPr>
        <sz val="10"/>
        <color indexed="8"/>
        <rFont val="Arial"/>
        <family val="2"/>
      </rPr>
      <t>)</t>
    </r>
  </si>
  <si>
    <t>VOLUME DO MATERIAL VEZES O PESO ESPECÍFICO VEZES A DISTÂNCIA DA REFINARIA ATÉ A USINA -&gt; (910,55m² x 0,03m) x (0,14t/m²) x (434km)</t>
  </si>
  <si>
    <r>
      <t>TRANSPORTE DE MATERIAL DE QUALQUER NATUREZA DMT ACIMA DE 50 KM (CM-30 + RR-1C) - (Transporte da refinaria ao local da  obra , DMT</t>
    </r>
    <r>
      <rPr>
        <sz val="10"/>
        <rFont val="Arial"/>
        <family val="2"/>
      </rPr>
      <t xml:space="preserve"> 520,00 km</t>
    </r>
    <r>
      <rPr>
        <sz val="10"/>
        <color indexed="8"/>
        <rFont val="Arial"/>
        <family val="2"/>
      </rPr>
      <t>)</t>
    </r>
  </si>
  <si>
    <t>ÁREA DE APLICAÇÃO DO MATERIAL VEZES O PESO POR M² (CM30 + RR2C) VEZES A DISTÂNCIA DA REFINARIA ATÉ A OBRA-&gt; (910,55m²) x (0,0012t/m² + 0,0004t/m²) x (434km + 86km)</t>
  </si>
  <si>
    <r>
      <t>TRANSPORTE DE AGREGADO DMT DE 0 A 10 KM (Mineradora até à Usina de PMF em Montes Claros - DMT =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2,80Km</t>
    </r>
    <r>
      <rPr>
        <sz val="10"/>
        <color indexed="8"/>
        <rFont val="Arial"/>
        <family val="2"/>
      </rPr>
      <t>) - Brita</t>
    </r>
  </si>
  <si>
    <t>VOLUME DO MATERIAL VEZES FATOR DA BRITA VEZES A DISTÂNCIA DA JAZIDA ATÉ A USINA -&gt; (910,55m² x 0,03m) x 1,26m³/m³ x (2,80km)</t>
  </si>
  <si>
    <r>
      <t xml:space="preserve">TRANSPORTE DE AGREGADO DMT ACIMA DE 50 KM (Jazida em Coração de Jesus até a usina em Montes Claros DMT = </t>
    </r>
    <r>
      <rPr>
        <sz val="10"/>
        <rFont val="Arial"/>
        <family val="2"/>
      </rPr>
      <t>85,00Km</t>
    </r>
    <r>
      <rPr>
        <sz val="10"/>
        <color indexed="8"/>
        <rFont val="Arial"/>
        <family val="2"/>
      </rPr>
      <t>) - Areia</t>
    </r>
  </si>
  <si>
    <t>VOLUME DO MATERIAL VEZES FATOR DA AREIA VEZES A DISTÂNCIA DA JAZIDA ATÉ A USINA -&gt;(910,55m² x 0,03m) x 0,18m³/m³ x (85,00km)</t>
  </si>
  <si>
    <r>
      <t xml:space="preserve">TRANSPORTE DE PMF/CBUQ PARA CONSERVAÇÃO DMT ACIMA DE 50 KM (Usina ao local da obra - DMT </t>
    </r>
    <r>
      <rPr>
        <sz val="10"/>
        <rFont val="Arial"/>
        <family val="2"/>
      </rPr>
      <t>86,00 km</t>
    </r>
    <r>
      <rPr>
        <sz val="10"/>
        <color indexed="8"/>
        <rFont val="Arial"/>
        <family val="2"/>
      </rPr>
      <t>)</t>
    </r>
  </si>
  <si>
    <t>VOLUME DO MATERIAL VEZES A DISTÂNCIA DA USINA ATÉ A OBRA -&gt;(910,55m² x 0,03m) x (86km)</t>
  </si>
  <si>
    <t>SERVIÇOS COMPLEMENTARES</t>
  </si>
  <si>
    <t>MEIO-FIO E SARJETA CONJUGADOS DE CONCRETO 15 MPA, 30 CM BASE X 26 CM ALTURA, MOLDADO "IN LOCO" COM EXTRUSORA</t>
  </si>
  <si>
    <t xml:space="preserve">SOMATÓRIO DE MEIO-FIO COM SARJETA+ AMARAÇÃO FINAL COM SARJETA, CONFORME PROJETO -&gt;  </t>
  </si>
  <si>
    <t>_______________________________________</t>
  </si>
  <si>
    <t>JOSÉ RAMOS LAFETÁ NETO</t>
  </si>
  <si>
    <t xml:space="preserve"> CREA - MG-201739/D</t>
  </si>
  <si>
    <t>AREA PISTA</t>
  </si>
  <si>
    <t>MEIO FIO</t>
  </si>
  <si>
    <t>COMPRIMENTO</t>
  </si>
  <si>
    <t>AREA TOTAL</t>
  </si>
  <si>
    <r>
      <t xml:space="preserve">LOCAL: </t>
    </r>
    <r>
      <rPr>
        <sz val="10"/>
        <color indexed="8"/>
        <rFont val="Arial"/>
        <family val="2"/>
      </rPr>
      <t xml:space="preserve"> LOCAL:  TRECHOS DE RUAS URBANAS DE CORAÇÃO DE JESUS</t>
    </r>
  </si>
  <si>
    <t>4.1.0</t>
  </si>
  <si>
    <t>BOTA FORA DO MATERIAL ESCAVADO CONFORME ITEM 2.1 -&gt;65,29m³ x 8km</t>
  </si>
  <si>
    <t>VOLUME ESCAVADO -&gt;435,27,03m² x 0,15m</t>
  </si>
  <si>
    <t>VOLUME DE MATERIAL VEZES PESO ESPEC. VEZES A DISTANCIA DA JAZIDA ATÉ A OBRA -&gt;70,29m³ x 11,8km</t>
  </si>
  <si>
    <t>ÁREA DA PISTA DE ROLAMENTO -&gt;398.67</t>
  </si>
  <si>
    <t>VOLUME DO MATERIAL VEZES O PESO ESPECÍFICO VEZES A DISTÂNCIA DA REFINARIA ATÉ A USINA -&gt; (398,67m² x 0,03m) x (0,14t/m²) x (434km)</t>
  </si>
  <si>
    <t>ÁREA DE APLICAÇÃO DO MATERIAL VEZES O PESO POR M² (CM30 + RR2C) VEZES A DISTÂNCIA DA REFINARIA ATÉ A OBRA-&gt; (4398,67 m²) x (0,0012t/m² + 0,0004t/m²) x (434km + 86km)</t>
  </si>
  <si>
    <t>VOLUME DO MATERIAL VEZES FATOR DA BRITA VEZES A DISTÂNCIA DA JAZIDA ATÉ A USINA -&gt; (398,67m² x 0,03m) x 1,26m³/m³ x (2,80km)</t>
  </si>
  <si>
    <t>VOLUME DO MATERIAL VEZES FATOR DA AREIA VEZES A DISTÂNCIA DA JAZIDA ATÉ A USINA -&gt;(398,67m² x 0,03m) x 0,18m³/m³ x (85,00km)</t>
  </si>
  <si>
    <t>VOLUME DO MATERIAL VEZES A DISTÂNCIA DA USINA ATÉ A OBRA -&gt;(398,67m² x 0,03m) x (86km)</t>
  </si>
  <si>
    <t>VOLUME DO MATERIAL VEZES ESPESSURA DA PAVIMENTAÇÃO -&gt; (398,67m² x 0,03m)</t>
  </si>
  <si>
    <t>VOLUME DO MATERIAL VEZES ESPESSURA DA PAVIMENTAÇÃO -&gt; (910,55m² x 0,03m)</t>
  </si>
  <si>
    <t>ÁREA LOCADA VEZES EXPESSURA DE CORTE -435,27m² x 0,15m</t>
  </si>
  <si>
    <t>VOLUME ESCAVADO -&gt; 987,49m² x 0,15m</t>
  </si>
  <si>
    <t>BOTA FORA DO MATERIAL ESCAVADO CONFORME ITEM 2.1 -&gt;148,12m³ x 8km</t>
  </si>
  <si>
    <t>ÁREA LOCADA VEZES EXPESSURA DE CORTE -1145,122 x 0,15m</t>
  </si>
  <si>
    <t>BOTA FORA DO MATERIAL ESCAVADO CONFORME ITEM 2.1 -&gt;171,77m³ x 8km</t>
  </si>
  <si>
    <t>VOLUME ESCAVADO -&gt; 1.145,12m² x 0,15m</t>
  </si>
  <si>
    <t>VOLUME DE MATERIAL VEZES PESO ESPEC. VEZES A DISTANCIA DA JAZIDA ATÉ A OBRA -&gt; 171,77m³ x 11,8km</t>
  </si>
  <si>
    <t>VOLUME DO MATERIAL VEZES O PESO ESPECÍFICO VEZES A DISTÂNCIA DA REFINARIA ATÉ A USINA -&gt; (1.062,46m² x 0,03m) x (0,14t/m²) x (434km)</t>
  </si>
  <si>
    <t>ÁREA DE APLICAÇÃO DO MATERIAL VEZES O PESO POR M² (CM30 + RR2C) VEZES A DISTÂNCIA DA REFINARIA ATÉ A OBRA-&gt; (1.062,46m²) x (0,0012t/m² + 0,0004t/m²) x (434km + 86km)</t>
  </si>
  <si>
    <t>VOLUME DO MATERIAL VEZES FATOR DA BRITA VEZES A DISTÂNCIA DA JAZIDA ATÉ A USINA -&gt; (1.062,46m² x 0,03m) x 1,26m³/m³ x (2,80km)</t>
  </si>
  <si>
    <t>VOLUME DO MATERIAL VEZES FATOR DA AREIA VEZES A DISTÂNCIA DA JAZIDA ATÉ A USINA -&gt;(1.062,46m² x 0,03m) x 0,18m³/m³ x (85,00km)</t>
  </si>
  <si>
    <t>VOLUME DO MATERIAL VEZES A DISTÂNCIA DA USINA ATÉ A OBRA -&gt;(1.062,46m² x 0,03m) x (86km)</t>
  </si>
  <si>
    <t>VOLUME DO MATERIAL VEZES ESPESSURA DA PAVIMENTAÇÃO -&gt; (1.062,46m² x 0,03m)</t>
  </si>
  <si>
    <t>ÁREA LOCADA VEZES EXPESSURA DE CORTE -817,705 x 0,15m</t>
  </si>
  <si>
    <t>BOTA FORA DO MATERIAL ESCAVADO CONFORME ITEM 2.1 -&gt;122,66m³ x 8km</t>
  </si>
  <si>
    <t>VOLUME ESCAVADO -&gt; 817,71m² x 0,15m</t>
  </si>
  <si>
    <t>VOLUME DE MATERIAL VEZES PESO ESPEC. VEZES A DISTANCIA DA JAZIDA ATÉ A OBRA -&gt; 122,66m³ x 11,8km</t>
  </si>
  <si>
    <t>VOLUME DO MATERIAL VEZES O PESO ESPECÍFICO VEZES A DISTÂNCIA DA REFINARIA ATÉ A USINA -&gt; (750,37m² x 0,03m) x (0,14t/m²) x (434km)</t>
  </si>
  <si>
    <t>ÁREA DE APLICAÇÃO DO MATERIAL VEZES O PESO POR M² (CM30 + RR2C) VEZES A DISTÂNCIA DA REFINARIA ATÉ A OBRA-&gt; (750,37m²) x (0,0012t/m² + 0,0004t/m²) x (434km + 86km)</t>
  </si>
  <si>
    <t>VOLUME DO MATERIAL VEZES FATOR DA BRITA VEZES A DISTÂNCIA DA JAZIDA ATÉ A USINA -&gt; (750,37m² x 0,03m) x 1,26m³/m³ x (2,80km)</t>
  </si>
  <si>
    <t>VOLUME DO MATERIAL VEZES A DISTÂNCIA DA USINA ATÉ A OBRA -&gt;(750,37m² x 0,03m) x (86km)</t>
  </si>
  <si>
    <t>VOLUME DO MATERIAL VEZES ESPESSURA DA PAVIMENTAÇÃO -&gt; (750,37m² x 0,03m)</t>
  </si>
  <si>
    <t>ÁREA LOCADA VEZES EXPESSURA DE CORTE -1035,506 x 0,15m</t>
  </si>
  <si>
    <t>BOTA FORA DO MATERIAL ESCAVADO CONFORME ITEM 2.1 -&gt;155,33m³ x 8km</t>
  </si>
  <si>
    <t>VOLUME ESCAVADO -&gt;1.035,51m² x 0,15m</t>
  </si>
  <si>
    <t>VOLUME DE MATERIAL VEZES PESO ESPEC. VEZES A DISTANCIA DA JAZIDA ATÉ A OBRA -&gt; 155,33m³ x 11,8km</t>
  </si>
  <si>
    <t>VOLUME DO MATERIAL VEZES O PESO ESPECÍFICO VEZES A DISTÂNCIA DA REFINARIA ATÉ A USINA -&gt; (950,45m² x 0,03m) x (0,14t/m²) x (434km)</t>
  </si>
  <si>
    <t>ÁREA DE APLICAÇÃO DO MATERIAL VEZES O PESO POR M² (CM30 + RR2C) VEZES A DISTÂNCIA DA REFINARIA ATÉ A OBRA-&gt; (950,45m²) x (0,0012t/m² + 0,0004t/m²) x (434km + 86km)</t>
  </si>
  <si>
    <t>VOLUME DO MATERIAL VEZES FATOR DA BRITA VEZES A DISTÂNCIA DA JAZIDA ATÉ A USINA -&gt; (950,45m² x 0,03m) x 1,26m³/m³ x (2,80km)</t>
  </si>
  <si>
    <t>VOLUME DO MATERIAL VEZES A DISTÂNCIA DA USINA ATÉ A OBRA -&gt;(950,45m² x 0,03m) x (86km)</t>
  </si>
  <si>
    <t>VOLUME DO MATERIAL VEZES ESPESSURA DA PAVIMENTAÇÃO -&gt; (950,45m² x 0,03m)</t>
  </si>
  <si>
    <t>ÁREA LOCADA VEZES EXPESSURA DE CORTE -426,91 x 0,15m</t>
  </si>
  <si>
    <t>BOTA FORA DO MATERIAL ESCAVADO CONFORME ITEM 2.1 -&gt;70,43m³ x 8km</t>
  </si>
  <si>
    <t>VOLUME ESCAVADO -&gt;469,51m² x 0,15m</t>
  </si>
  <si>
    <t>VOLUME DE MATERIAL VEZES PESO ESPEC. VEZES A DISTANCIA DA JAZIDA ATÉ A OBRA -&gt;70,43m³ x 11,8km</t>
  </si>
  <si>
    <t>VOLUME DO MATERIAL VEZES O PESO ESPECÍFICO VEZES A DISTÂNCIA DA REFINARIA ATÉ A USINA -&gt; (426,91m² x 0,03m) x (0,14t/m²) x (434km)</t>
  </si>
  <si>
    <t>ÁREA DE APLICAÇÃO DO MATERIAL VEZES O PESO POR M² (CM30 + RR2C) VEZES A DISTÂNCIA DA REFINARIA ATÉ A OBRA-&gt; (426,91m²) x (0,0012t/m² + 0,0004t/m²) x (434km + 86km)</t>
  </si>
  <si>
    <t>VOLUME DO MATERIAL VEZES FATOR DA BRITA VEZES A DISTÂNCIA DA JAZIDA ATÉ A USINA -&gt; (426,91m² x 0,03m) x 1,26m³/m³ x (2,80km)</t>
  </si>
  <si>
    <t>VOLUME DO MATERIAL VEZES A DISTÂNCIA DA USINA ATÉ A OBRA -&gt;(426,91m² x 0,03m) x (86km)</t>
  </si>
  <si>
    <t>VOLUME DO MATERIAL VEZES ESPESSURA DA PAVIMENTAÇÃO -&gt; (426,91m² x 0,03m)</t>
  </si>
  <si>
    <t>OBRA:</t>
  </si>
  <si>
    <t>DISCRIMINAÇÃO DAS PARCELAS</t>
  </si>
  <si>
    <t>SIGLA</t>
  </si>
  <si>
    <t>ISS 5%</t>
  </si>
  <si>
    <t>Administração Central</t>
  </si>
  <si>
    <t>AC</t>
  </si>
  <si>
    <t>Lucro</t>
  </si>
  <si>
    <t>L</t>
  </si>
  <si>
    <t>Despesas Finaceiras</t>
  </si>
  <si>
    <t>DF</t>
  </si>
  <si>
    <t>Seguros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</si>
  <si>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</si>
  <si>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</si>
  <si>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</si>
  <si>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</si>
  <si>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</si>
  <si>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</si>
  <si>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</si>
  <si>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</si>
  <si>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</si>
  <si>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</si>
  <si>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</si>
  <si>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</si>
  <si>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</si>
  <si>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</si>
  <si>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</si>
  <si>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</si>
  <si>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</si>
  <si>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</si>
  <si>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</si>
  <si>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</si>
  <si>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 xml:space="preserve"> PAVIMENTAÇÃO DE VIAS PUBLICAS EM PMF - ESPESSURA 3,00 CM - CORAÇÃO DE JESUS</t>
  </si>
  <si>
    <t>COMPOSIÇÃO DE LDI</t>
  </si>
  <si>
    <t>LDI (conforme Ácordão Nº 2622/13)- Construção de Edificios</t>
  </si>
  <si>
    <t>CÁLCULO DE COMPOSIÇÃO DE LDI</t>
  </si>
  <si>
    <t>ÁREA TOTAL DE INTERVENÇÃO CONFORME PROJETO: 4880,88 m²</t>
  </si>
  <si>
    <t>RUA TOMÉ DURÃES, BAIRRO SANTA TEREZA</t>
  </si>
  <si>
    <t>RUA "7",  BAIRRO BURITI</t>
  </si>
  <si>
    <t>RUA JOB SOARES,  BAIRRO BURITI</t>
  </si>
  <si>
    <t>3.1.0</t>
  </si>
  <si>
    <t>5.1.0</t>
  </si>
  <si>
    <t>7.1.0</t>
  </si>
  <si>
    <t>DATA: 11/05/2020</t>
  </si>
  <si>
    <t>Coração de Jesus/MG, 11 de Maio de 2020</t>
  </si>
  <si>
    <t>Coração de Jesus/MG, 11 de Maio de 2020.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</si>
</sst>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#,##0.00\ ;&quot; (&quot;#,##0.00\);&quot; -&quot;#\ ;@\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/>
    <xf numFmtId="9" fontId="13" fillId="0" borderId="0" applyFont="0" applyFill="0" applyBorder="0" applyAlignment="0" applyProtection="0"/>
    <xf numFmtId="166" fontId="13" fillId="0" borderId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6" fillId="0" borderId="0" xfId="0" applyFont="1"/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6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0" fontId="8" fillId="0" borderId="14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6" fillId="0" borderId="0" xfId="0" applyFont="1" applyBorder="1"/>
    <xf numFmtId="165" fontId="11" fillId="0" borderId="0" xfId="0" applyNumberFormat="1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4" fontId="6" fillId="0" borderId="0" xfId="0" applyNumberFormat="1" applyFont="1" applyBorder="1"/>
    <xf numFmtId="0" fontId="0" fillId="0" borderId="0" xfId="0" applyFill="1"/>
    <xf numFmtId="0" fontId="13" fillId="0" borderId="0" xfId="0" applyFont="1" applyFill="1"/>
    <xf numFmtId="10" fontId="13" fillId="0" borderId="0" xfId="0" applyNumberFormat="1" applyFont="1" applyFill="1"/>
    <xf numFmtId="0" fontId="11" fillId="0" borderId="0" xfId="0" applyFont="1" applyFill="1"/>
    <xf numFmtId="0" fontId="12" fillId="0" borderId="3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1" fillId="0" borderId="0" xfId="0" applyFont="1"/>
    <xf numFmtId="0" fontId="13" fillId="0" borderId="6" xfId="3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2" fontId="13" fillId="0" borderId="6" xfId="2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2" fontId="13" fillId="0" borderId="12" xfId="2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distributed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9" fontId="13" fillId="0" borderId="45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4" fontId="13" fillId="0" borderId="48" xfId="0" applyNumberFormat="1" applyFont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9" fontId="13" fillId="0" borderId="50" xfId="0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left" vertical="center" wrapText="1"/>
    </xf>
    <xf numFmtId="2" fontId="13" fillId="0" borderId="50" xfId="2" applyNumberFormat="1" applyFont="1" applyFill="1" applyBorder="1" applyAlignment="1">
      <alignment horizontal="center" vertical="center" wrapText="1"/>
    </xf>
    <xf numFmtId="4" fontId="13" fillId="0" borderId="50" xfId="0" applyNumberFormat="1" applyFont="1" applyFill="1" applyBorder="1" applyAlignment="1">
      <alignment horizontal="center" vertical="center" wrapText="1"/>
    </xf>
    <xf numFmtId="4" fontId="13" fillId="0" borderId="50" xfId="0" applyNumberFormat="1" applyFont="1" applyBorder="1" applyAlignment="1">
      <alignment horizontal="center" vertical="center" wrapText="1"/>
    </xf>
    <xf numFmtId="4" fontId="13" fillId="0" borderId="51" xfId="0" applyNumberFormat="1" applyFont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 wrapText="1"/>
    </xf>
    <xf numFmtId="49" fontId="12" fillId="0" borderId="45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left" vertical="center" wrapText="1"/>
    </xf>
    <xf numFmtId="2" fontId="11" fillId="0" borderId="45" xfId="2" applyNumberFormat="1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165" fontId="11" fillId="0" borderId="46" xfId="0" applyNumberFormat="1" applyFont="1" applyFill="1" applyBorder="1" applyAlignment="1">
      <alignment horizontal="distributed" vertical="center" wrapText="1"/>
    </xf>
    <xf numFmtId="0" fontId="11" fillId="0" borderId="49" xfId="0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2" fontId="13" fillId="0" borderId="45" xfId="2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5" fillId="0" borderId="48" xfId="0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0" borderId="50" xfId="0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 wrapText="1"/>
    </xf>
    <xf numFmtId="165" fontId="13" fillId="0" borderId="48" xfId="0" applyNumberFormat="1" applyFont="1" applyFill="1" applyBorder="1" applyAlignment="1">
      <alignment horizontal="distributed" vertical="center" wrapText="1"/>
    </xf>
    <xf numFmtId="0" fontId="11" fillId="0" borderId="4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6" fillId="0" borderId="0" xfId="0" applyFont="1"/>
    <xf numFmtId="0" fontId="0" fillId="0" borderId="27" xfId="0" applyFill="1" applyBorder="1"/>
    <xf numFmtId="0" fontId="19" fillId="0" borderId="28" xfId="0" applyFont="1" applyFill="1" applyBorder="1" applyAlignment="1">
      <alignment horizontal="center" vertical="center"/>
    </xf>
    <xf numFmtId="4" fontId="19" fillId="0" borderId="29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/>
    <xf numFmtId="4" fontId="0" fillId="0" borderId="43" xfId="0" applyNumberFormat="1" applyFill="1" applyBorder="1" applyAlignment="1">
      <alignment horizontal="center"/>
    </xf>
    <xf numFmtId="4" fontId="12" fillId="0" borderId="43" xfId="0" applyNumberFormat="1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33" xfId="0" applyFill="1" applyBorder="1"/>
    <xf numFmtId="4" fontId="0" fillId="0" borderId="54" xfId="0" applyNumberFormat="1" applyFill="1" applyBorder="1" applyAlignment="1">
      <alignment horizontal="center"/>
    </xf>
    <xf numFmtId="0" fontId="12" fillId="0" borderId="3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4" fontId="12" fillId="0" borderId="56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2" fontId="11" fillId="0" borderId="30" xfId="2" applyNumberFormat="1" applyFont="1" applyFill="1" applyBorder="1" applyAlignment="1">
      <alignment horizontal="center" vertical="center" wrapText="1"/>
    </xf>
    <xf numFmtId="4" fontId="11" fillId="0" borderId="32" xfId="0" applyNumberFormat="1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2" fontId="11" fillId="0" borderId="19" xfId="2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49" fontId="16" fillId="0" borderId="57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8" fillId="0" borderId="57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4" fontId="11" fillId="0" borderId="59" xfId="0" applyNumberFormat="1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left" vertical="center" wrapText="1"/>
    </xf>
    <xf numFmtId="2" fontId="11" fillId="0" borderId="60" xfId="2" applyNumberFormat="1" applyFont="1" applyFill="1" applyBorder="1" applyAlignment="1">
      <alignment horizontal="center" vertical="center" wrapText="1"/>
    </xf>
    <xf numFmtId="4" fontId="11" fillId="0" borderId="61" xfId="0" applyNumberFormat="1" applyFont="1" applyFill="1" applyBorder="1" applyAlignment="1">
      <alignment horizontal="center" vertical="center" wrapText="1"/>
    </xf>
    <xf numFmtId="4" fontId="0" fillId="0" borderId="43" xfId="0" applyNumberForma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4" fontId="0" fillId="0" borderId="0" xfId="0" applyNumberFormat="1" applyFill="1" applyBorder="1"/>
    <xf numFmtId="4" fontId="0" fillId="0" borderId="0" xfId="0" applyNumberFormat="1" applyFill="1"/>
    <xf numFmtId="4" fontId="5" fillId="0" borderId="0" xfId="0" applyNumberFormat="1" applyFont="1" applyFill="1" applyBorder="1"/>
    <xf numFmtId="0" fontId="5" fillId="0" borderId="0" xfId="0" applyFont="1" applyFill="1" applyBorder="1"/>
    <xf numFmtId="0" fontId="11" fillId="0" borderId="6" xfId="4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6" fillId="0" borderId="75" xfId="0" applyFont="1" applyFill="1" applyBorder="1" applyAlignment="1">
      <alignment horizontal="center" vertical="center" wrapText="1"/>
    </xf>
    <xf numFmtId="2" fontId="11" fillId="0" borderId="19" xfId="12" applyNumberFormat="1" applyFont="1" applyFill="1" applyBorder="1" applyAlignment="1">
      <alignment horizontal="center" vertical="center" wrapText="1"/>
    </xf>
    <xf numFmtId="2" fontId="11" fillId="0" borderId="60" xfId="12" applyNumberFormat="1" applyFont="1" applyFill="1" applyBorder="1" applyAlignment="1">
      <alignment horizontal="center" vertical="center" wrapText="1"/>
    </xf>
    <xf numFmtId="0" fontId="13" fillId="0" borderId="0" xfId="6"/>
    <xf numFmtId="1" fontId="5" fillId="0" borderId="76" xfId="9" applyNumberFormat="1" applyFont="1" applyBorder="1" applyAlignment="1">
      <alignment horizontal="center" vertical="center"/>
    </xf>
    <xf numFmtId="0" fontId="12" fillId="0" borderId="0" xfId="6" applyFont="1"/>
    <xf numFmtId="1" fontId="13" fillId="0" borderId="77" xfId="6" applyNumberFormat="1" applyFont="1" applyFill="1" applyBorder="1" applyAlignment="1">
      <alignment horizontal="center" vertical="center"/>
    </xf>
    <xf numFmtId="2" fontId="5" fillId="0" borderId="19" xfId="6" applyNumberFormat="1" applyFont="1" applyBorder="1" applyAlignment="1">
      <alignment horizontal="center"/>
    </xf>
    <xf numFmtId="2" fontId="13" fillId="0" borderId="19" xfId="6" applyNumberFormat="1" applyFont="1" applyBorder="1" applyAlignment="1">
      <alignment horizontal="center"/>
    </xf>
    <xf numFmtId="0" fontId="13" fillId="0" borderId="19" xfId="6" applyFont="1" applyBorder="1" applyAlignment="1">
      <alignment horizontal="center"/>
    </xf>
    <xf numFmtId="0" fontId="13" fillId="0" borderId="77" xfId="6" applyFont="1" applyFill="1" applyBorder="1" applyAlignment="1">
      <alignment vertical="center"/>
    </xf>
    <xf numFmtId="0" fontId="5" fillId="0" borderId="77" xfId="6" applyFont="1" applyFill="1" applyBorder="1" applyAlignment="1">
      <alignment horizontal="centerContinuous" vertical="center"/>
    </xf>
    <xf numFmtId="0" fontId="25" fillId="0" borderId="78" xfId="6" applyFont="1" applyBorder="1"/>
    <xf numFmtId="0" fontId="22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3" fillId="0" borderId="0" xfId="6" applyFont="1"/>
    <xf numFmtId="0" fontId="11" fillId="0" borderId="0" xfId="6" applyFont="1" applyFill="1" applyBorder="1" applyAlignment="1"/>
    <xf numFmtId="0" fontId="18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6" fillId="0" borderId="3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right" vertical="center" wrapText="1"/>
    </xf>
    <xf numFmtId="0" fontId="5" fillId="0" borderId="69" xfId="0" applyFont="1" applyFill="1" applyBorder="1" applyAlignment="1">
      <alignment horizontal="right" vertical="center" wrapText="1"/>
    </xf>
    <xf numFmtId="0" fontId="5" fillId="0" borderId="70" xfId="0" applyFont="1" applyFill="1" applyBorder="1" applyAlignment="1">
      <alignment horizontal="right" vertical="center" wrapText="1"/>
    </xf>
    <xf numFmtId="0" fontId="5" fillId="0" borderId="62" xfId="0" applyFont="1" applyFill="1" applyBorder="1" applyAlignment="1">
      <alignment horizontal="right" vertical="center" wrapText="1"/>
    </xf>
    <xf numFmtId="0" fontId="5" fillId="0" borderId="63" xfId="0" applyFont="1" applyFill="1" applyBorder="1" applyAlignment="1">
      <alignment horizontal="right" vertical="center" wrapText="1"/>
    </xf>
    <xf numFmtId="0" fontId="5" fillId="0" borderId="64" xfId="0" applyFont="1" applyFill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0" fontId="12" fillId="0" borderId="25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5" fillId="0" borderId="71" xfId="0" applyFont="1" applyFill="1" applyBorder="1" applyAlignment="1">
      <alignment horizontal="right" vertical="center" wrapText="1"/>
    </xf>
    <xf numFmtId="0" fontId="5" fillId="0" borderId="72" xfId="0" applyFont="1" applyFill="1" applyBorder="1" applyAlignment="1">
      <alignment horizontal="right" vertical="center" wrapText="1"/>
    </xf>
    <xf numFmtId="0" fontId="5" fillId="0" borderId="73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right" vertical="center" wrapText="1"/>
    </xf>
    <xf numFmtId="0" fontId="5" fillId="0" borderId="72" xfId="0" applyFont="1" applyBorder="1" applyAlignment="1">
      <alignment horizontal="right" vertical="center" wrapText="1"/>
    </xf>
    <xf numFmtId="0" fontId="5" fillId="0" borderId="73" xfId="0" applyFont="1" applyBorder="1" applyAlignment="1">
      <alignment horizontal="right" vertical="center" wrapText="1"/>
    </xf>
    <xf numFmtId="0" fontId="5" fillId="2" borderId="7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26" xfId="6" applyFont="1" applyBorder="1" applyAlignment="1">
      <alignment horizontal="center"/>
    </xf>
    <xf numFmtId="0" fontId="5" fillId="0" borderId="19" xfId="6" applyFont="1" applyBorder="1" applyAlignment="1">
      <alignment horizontal="center"/>
    </xf>
    <xf numFmtId="2" fontId="5" fillId="0" borderId="19" xfId="6" applyNumberFormat="1" applyFont="1" applyBorder="1" applyAlignment="1">
      <alignment horizontal="center"/>
    </xf>
    <xf numFmtId="2" fontId="5" fillId="0" borderId="21" xfId="6" applyNumberFormat="1" applyFont="1" applyBorder="1" applyAlignment="1">
      <alignment horizontal="center"/>
    </xf>
    <xf numFmtId="1" fontId="15" fillId="0" borderId="52" xfId="9" applyNumberFormat="1" applyFont="1" applyFill="1" applyBorder="1" applyAlignment="1">
      <alignment horizontal="center" vertical="center" wrapText="1"/>
    </xf>
    <xf numFmtId="1" fontId="15" fillId="0" borderId="3" xfId="9" applyNumberFormat="1" applyFont="1" applyFill="1" applyBorder="1" applyAlignment="1">
      <alignment horizontal="center" vertical="center" wrapText="1"/>
    </xf>
    <xf numFmtId="1" fontId="15" fillId="0" borderId="53" xfId="9" applyNumberFormat="1" applyFont="1" applyFill="1" applyBorder="1" applyAlignment="1">
      <alignment horizontal="center" vertical="center" wrapText="1"/>
    </xf>
    <xf numFmtId="1" fontId="5" fillId="0" borderId="52" xfId="9" applyNumberFormat="1" applyFont="1" applyBorder="1" applyAlignment="1">
      <alignment horizontal="center" vertical="center" wrapText="1"/>
    </xf>
    <xf numFmtId="1" fontId="5" fillId="0" borderId="3" xfId="9" applyNumberFormat="1" applyFont="1" applyBorder="1" applyAlignment="1">
      <alignment horizontal="center" vertical="center" wrapText="1"/>
    </xf>
    <xf numFmtId="1" fontId="5" fillId="0" borderId="53" xfId="9" applyNumberFormat="1" applyFont="1" applyBorder="1" applyAlignment="1">
      <alignment horizontal="center" vertical="center" wrapText="1"/>
    </xf>
    <xf numFmtId="1" fontId="5" fillId="0" borderId="28" xfId="9" applyNumberFormat="1" applyFont="1" applyBorder="1" applyAlignment="1">
      <alignment horizontal="center" vertical="center"/>
    </xf>
    <xf numFmtId="1" fontId="5" fillId="0" borderId="29" xfId="9" applyNumberFormat="1" applyFont="1" applyBorder="1" applyAlignment="1">
      <alignment horizontal="center" vertical="center"/>
    </xf>
    <xf numFmtId="0" fontId="5" fillId="0" borderId="25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25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13" fillId="0" borderId="26" xfId="6" applyFont="1" applyBorder="1" applyAlignment="1">
      <alignment horizontal="center"/>
    </xf>
    <xf numFmtId="0" fontId="13" fillId="0" borderId="19" xfId="6" applyFont="1" applyBorder="1" applyAlignment="1">
      <alignment horizontal="center"/>
    </xf>
    <xf numFmtId="10" fontId="13" fillId="0" borderId="19" xfId="10" applyNumberFormat="1" applyFont="1" applyBorder="1" applyAlignment="1">
      <alignment horizontal="center"/>
    </xf>
    <xf numFmtId="10" fontId="13" fillId="0" borderId="21" xfId="10" applyNumberFormat="1" applyFont="1" applyBorder="1" applyAlignment="1">
      <alignment horizontal="center"/>
    </xf>
    <xf numFmtId="10" fontId="13" fillId="0" borderId="19" xfId="6" applyNumberFormat="1" applyFont="1" applyBorder="1" applyAlignment="1">
      <alignment horizontal="center"/>
    </xf>
    <xf numFmtId="10" fontId="13" fillId="0" borderId="21" xfId="6" applyNumberFormat="1" applyFont="1" applyBorder="1" applyAlignment="1">
      <alignment horizontal="center"/>
    </xf>
    <xf numFmtId="0" fontId="5" fillId="0" borderId="26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/>
    </xf>
    <xf numFmtId="0" fontId="5" fillId="0" borderId="21" xfId="6" applyFont="1" applyBorder="1" applyAlignment="1">
      <alignment horizontal="left" vertical="center"/>
    </xf>
    <xf numFmtId="0" fontId="5" fillId="0" borderId="20" xfId="6" applyFont="1" applyBorder="1" applyAlignment="1">
      <alignment horizontal="center" vertical="top"/>
    </xf>
    <xf numFmtId="0" fontId="5" fillId="0" borderId="2" xfId="6" applyFont="1" applyBorder="1" applyAlignment="1">
      <alignment horizontal="center" vertical="top"/>
    </xf>
    <xf numFmtId="0" fontId="5" fillId="0" borderId="26" xfId="6" applyFont="1" applyBorder="1" applyAlignment="1">
      <alignment horizontal="center" vertical="top"/>
    </xf>
    <xf numFmtId="0" fontId="13" fillId="0" borderId="26" xfId="6" applyFont="1" applyBorder="1" applyAlignment="1">
      <alignment horizontal="right"/>
    </xf>
    <xf numFmtId="0" fontId="13" fillId="0" borderId="19" xfId="6" applyFont="1" applyBorder="1" applyAlignment="1">
      <alignment horizontal="right"/>
    </xf>
    <xf numFmtId="0" fontId="5" fillId="0" borderId="40" xfId="6" applyFont="1" applyBorder="1" applyAlignment="1">
      <alignment horizontal="center" vertical="center"/>
    </xf>
    <xf numFmtId="0" fontId="5" fillId="0" borderId="79" xfId="6" applyFont="1" applyBorder="1" applyAlignment="1">
      <alignment horizontal="center" vertical="center"/>
    </xf>
    <xf numFmtId="10" fontId="5" fillId="0" borderId="79" xfId="10" applyNumberFormat="1" applyFont="1" applyBorder="1" applyAlignment="1">
      <alignment horizontal="center" vertical="center"/>
    </xf>
    <xf numFmtId="10" fontId="5" fillId="0" borderId="80" xfId="10" applyNumberFormat="1" applyFont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/>
    </xf>
    <xf numFmtId="0" fontId="18" fillId="0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/>
    </xf>
  </cellXfs>
  <cellStyles count="14">
    <cellStyle name="Moeda 2" xfId="5"/>
    <cellStyle name="Normal" xfId="0" builtinId="0"/>
    <cellStyle name="Normal 2" xfId="6"/>
    <cellStyle name="Normal 2 2" xfId="7"/>
    <cellStyle name="Normal 3" xfId="8"/>
    <cellStyle name="Normal 4" xfId="3"/>
    <cellStyle name="Normal 4 2" xfId="4"/>
    <cellStyle name="Normal_ESPINOSA-SES-ORCAMENTO-CRONOGRAMA-ABC-2012-11-06" xfId="9"/>
    <cellStyle name="Porcentagem" xfId="1" builtinId="5"/>
    <cellStyle name="Porcentagem 2" xfId="10"/>
    <cellStyle name="Separador de milhares" xfId="2" builtinId="3"/>
    <cellStyle name="Vírgula 2" xfId="11"/>
    <cellStyle name="Vírgula 3" xfId="12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152400</xdr:rowOff>
    </xdr:from>
    <xdr:to>
      <xdr:col>4</xdr:col>
      <xdr:colOff>47625</xdr:colOff>
      <xdr:row>0</xdr:row>
      <xdr:rowOff>790575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1219200" y="15240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151</xdr:row>
      <xdr:rowOff>114300</xdr:rowOff>
    </xdr:from>
    <xdr:to>
      <xdr:col>8</xdr:col>
      <xdr:colOff>0</xdr:colOff>
      <xdr:row>152</xdr:row>
      <xdr:rowOff>161925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1"/>
  <sheetViews>
    <sheetView showGridLines="0" showZeros="0" view="pageBreakPreview" zoomScaleSheetLayoutView="100" workbookViewId="0">
      <selection activeCell="F7" sqref="F7:H7"/>
    </sheetView>
  </sheetViews>
  <sheetFormatPr defaultRowHeight="12.75"/>
  <cols>
    <col min="1" max="1" width="5.42578125" style="1" bestFit="1" customWidth="1"/>
    <col min="2" max="2" width="10.7109375" style="1" bestFit="1" customWidth="1"/>
    <col min="3" max="3" width="48" style="1" customWidth="1"/>
    <col min="4" max="4" width="9.140625" style="1"/>
    <col min="5" max="8" width="12.28515625" style="1" customWidth="1"/>
    <col min="9" max="16384" width="9.140625" style="1"/>
  </cols>
  <sheetData>
    <row r="1" spans="1:10" s="21" customFormat="1" ht="99" customHeight="1">
      <c r="A1" s="203" t="s">
        <v>115</v>
      </c>
      <c r="B1" s="204"/>
      <c r="C1" s="204"/>
      <c r="D1" s="204"/>
      <c r="E1" s="204"/>
      <c r="F1" s="204"/>
      <c r="G1" s="204"/>
      <c r="H1" s="204"/>
    </row>
    <row r="2" spans="1:10" ht="15.75">
      <c r="A2" s="209"/>
      <c r="B2" s="209"/>
      <c r="C2" s="209"/>
      <c r="D2" s="209"/>
      <c r="E2" s="209"/>
      <c r="F2" s="209"/>
      <c r="G2" s="209"/>
      <c r="H2" s="209"/>
    </row>
    <row r="3" spans="1:10" ht="3.75" customHeight="1" thickBot="1">
      <c r="A3" s="176"/>
      <c r="B3" s="176"/>
      <c r="C3" s="176"/>
      <c r="D3" s="176"/>
      <c r="E3" s="176"/>
      <c r="F3" s="176"/>
      <c r="G3" s="176"/>
      <c r="H3" s="176"/>
    </row>
    <row r="4" spans="1:10" ht="20.100000000000001" customHeight="1" thickBot="1">
      <c r="A4" s="226" t="s">
        <v>4</v>
      </c>
      <c r="B4" s="227"/>
      <c r="C4" s="227"/>
      <c r="D4" s="227"/>
      <c r="E4" s="227"/>
      <c r="F4" s="227"/>
      <c r="G4" s="227"/>
      <c r="H4" s="228"/>
    </row>
    <row r="5" spans="1:10" ht="3.75" customHeight="1" thickBot="1">
      <c r="A5" s="2"/>
      <c r="B5" s="2"/>
      <c r="C5" s="2"/>
      <c r="D5" s="2"/>
      <c r="E5" s="2"/>
      <c r="F5" s="2"/>
      <c r="G5" s="2"/>
      <c r="H5" s="2"/>
    </row>
    <row r="6" spans="1:10" ht="20.100000000000001" customHeight="1">
      <c r="A6" s="217" t="s">
        <v>31</v>
      </c>
      <c r="B6" s="218"/>
      <c r="C6" s="218"/>
      <c r="D6" s="218"/>
      <c r="E6" s="219"/>
      <c r="F6" s="229" t="s">
        <v>30</v>
      </c>
      <c r="G6" s="230"/>
      <c r="H6" s="231"/>
    </row>
    <row r="7" spans="1:10" ht="20.100000000000001" customHeight="1">
      <c r="A7" s="220" t="s">
        <v>187</v>
      </c>
      <c r="B7" s="221"/>
      <c r="C7" s="221"/>
      <c r="D7" s="221"/>
      <c r="E7" s="222"/>
      <c r="F7" s="214" t="s">
        <v>336</v>
      </c>
      <c r="G7" s="215"/>
      <c r="H7" s="216"/>
    </row>
    <row r="8" spans="1:10" ht="20.100000000000001" customHeight="1">
      <c r="A8" s="177" t="s">
        <v>109</v>
      </c>
      <c r="B8" s="178"/>
      <c r="C8" s="178"/>
      <c r="D8" s="179"/>
      <c r="E8" s="223" t="s">
        <v>11</v>
      </c>
      <c r="F8" s="224"/>
      <c r="G8" s="224"/>
      <c r="H8" s="225"/>
    </row>
    <row r="9" spans="1:10" ht="26.25" customHeight="1">
      <c r="A9" s="183" t="s">
        <v>32</v>
      </c>
      <c r="B9" s="184"/>
      <c r="C9" s="184"/>
      <c r="D9" s="185"/>
      <c r="E9" s="212" t="s">
        <v>8</v>
      </c>
      <c r="F9" s="210" t="s">
        <v>6</v>
      </c>
      <c r="G9" s="26" t="s">
        <v>110</v>
      </c>
      <c r="H9" s="3" t="s">
        <v>7</v>
      </c>
    </row>
    <row r="10" spans="1:10" ht="20.100000000000001" customHeight="1" thickBot="1">
      <c r="A10" s="180" t="s">
        <v>33</v>
      </c>
      <c r="B10" s="181"/>
      <c r="C10" s="181"/>
      <c r="D10" s="182"/>
      <c r="E10" s="213"/>
      <c r="F10" s="211"/>
      <c r="G10" s="4" t="s">
        <v>9</v>
      </c>
      <c r="H10" s="10">
        <v>0.33479999999999999</v>
      </c>
    </row>
    <row r="11" spans="1:10" ht="3.75" customHeight="1">
      <c r="A11" s="202"/>
      <c r="B11" s="202"/>
      <c r="C11" s="202"/>
      <c r="D11" s="202"/>
      <c r="E11" s="202"/>
      <c r="F11" s="202"/>
      <c r="G11" s="202"/>
      <c r="H11" s="202"/>
    </row>
    <row r="12" spans="1:10" ht="38.25">
      <c r="A12" s="17" t="s">
        <v>0</v>
      </c>
      <c r="B12" s="17" t="s">
        <v>5</v>
      </c>
      <c r="C12" s="17" t="s">
        <v>1</v>
      </c>
      <c r="D12" s="17" t="s">
        <v>3</v>
      </c>
      <c r="E12" s="17" t="s">
        <v>2</v>
      </c>
      <c r="F12" s="18" t="s">
        <v>12</v>
      </c>
      <c r="G12" s="18" t="s">
        <v>13</v>
      </c>
      <c r="H12" s="18" t="s">
        <v>10</v>
      </c>
    </row>
    <row r="13" spans="1:10">
      <c r="A13" s="72" t="s">
        <v>46</v>
      </c>
      <c r="B13" s="73"/>
      <c r="C13" s="74" t="s">
        <v>15</v>
      </c>
      <c r="D13" s="75"/>
      <c r="E13" s="76"/>
      <c r="F13" s="76"/>
      <c r="G13" s="76"/>
      <c r="H13" s="77"/>
    </row>
    <row r="14" spans="1:10" ht="127.5">
      <c r="A14" s="58" t="s">
        <v>14</v>
      </c>
      <c r="B14" s="30" t="s">
        <v>17</v>
      </c>
      <c r="C14" s="34" t="s">
        <v>34</v>
      </c>
      <c r="D14" s="32" t="s">
        <v>35</v>
      </c>
      <c r="E14" s="33">
        <v>1</v>
      </c>
      <c r="F14" s="33">
        <v>1090.22</v>
      </c>
      <c r="G14" s="36">
        <f>ROUND(F14+(F14*$H$10),2)</f>
        <v>1455.23</v>
      </c>
      <c r="H14" s="59">
        <f>ROUND((E14*G14),2)</f>
        <v>1455.23</v>
      </c>
    </row>
    <row r="15" spans="1:10" ht="38.25">
      <c r="A15" s="58" t="s">
        <v>16</v>
      </c>
      <c r="B15" s="30" t="s">
        <v>36</v>
      </c>
      <c r="C15" s="34" t="s">
        <v>37</v>
      </c>
      <c r="D15" s="32" t="s">
        <v>38</v>
      </c>
      <c r="E15" s="33">
        <f>983.484+1139.404+817.705+1035.506+469.51+435.27</f>
        <v>4880.8790000000008</v>
      </c>
      <c r="F15" s="33">
        <v>0.34</v>
      </c>
      <c r="G15" s="36">
        <f t="shared" ref="G15:G17" si="0">ROUND(F15+(F15*$H$10),2)</f>
        <v>0.45</v>
      </c>
      <c r="H15" s="59">
        <f>ROUND((E15*G15),2)</f>
        <v>2196.4</v>
      </c>
      <c r="J15" s="1">
        <v>0</v>
      </c>
    </row>
    <row r="16" spans="1:10" ht="51">
      <c r="A16" s="58" t="s">
        <v>39</v>
      </c>
      <c r="B16" s="30" t="s">
        <v>40</v>
      </c>
      <c r="C16" s="34" t="s">
        <v>41</v>
      </c>
      <c r="D16" s="32" t="s">
        <v>42</v>
      </c>
      <c r="E16" s="33">
        <v>0.5</v>
      </c>
      <c r="F16" s="33">
        <f>(H14+H15+H17+H35+H38+H55+H58+H75+H78+H95+H98+H115+H118+H135+H138)</f>
        <v>306702.90999999997</v>
      </c>
      <c r="G16" s="36">
        <f t="shared" si="0"/>
        <v>409387.04</v>
      </c>
      <c r="H16" s="59">
        <f>ROUND((E16*G16),2)/100</f>
        <v>2046.9351999999999</v>
      </c>
    </row>
    <row r="17" spans="1:11" ht="38.25">
      <c r="A17" s="58" t="s">
        <v>43</v>
      </c>
      <c r="B17" s="30" t="s">
        <v>44</v>
      </c>
      <c r="C17" s="34" t="s">
        <v>45</v>
      </c>
      <c r="D17" s="32" t="s">
        <v>35</v>
      </c>
      <c r="E17" s="33">
        <v>1</v>
      </c>
      <c r="F17" s="33">
        <v>8901.07</v>
      </c>
      <c r="G17" s="36">
        <f t="shared" si="0"/>
        <v>11881.15</v>
      </c>
      <c r="H17" s="59">
        <f>ROUND((E17*G17),2)</f>
        <v>11881.15</v>
      </c>
      <c r="I17" s="20"/>
      <c r="K17" s="5">
        <f>E23+E43+E63+E83+E103+E123</f>
        <v>4890.603000000001</v>
      </c>
    </row>
    <row r="18" spans="1:11" ht="12.75" customHeight="1">
      <c r="A18" s="78"/>
      <c r="B18" s="79"/>
      <c r="C18" s="232" t="s">
        <v>111</v>
      </c>
      <c r="D18" s="233"/>
      <c r="E18" s="233"/>
      <c r="F18" s="233"/>
      <c r="G18" s="234"/>
      <c r="H18" s="80">
        <f>SUM(H14:H17)</f>
        <v>17579.715199999999</v>
      </c>
      <c r="I18" s="20"/>
    </row>
    <row r="19" spans="1:11" ht="47.25" customHeight="1">
      <c r="A19" s="19" t="s">
        <v>47</v>
      </c>
      <c r="B19" s="235" t="s">
        <v>193</v>
      </c>
      <c r="C19" s="236"/>
      <c r="D19" s="236"/>
      <c r="E19" s="236"/>
      <c r="F19" s="236"/>
      <c r="G19" s="236"/>
      <c r="H19" s="237"/>
      <c r="I19" s="16"/>
    </row>
    <row r="20" spans="1:11">
      <c r="A20" s="72" t="s">
        <v>19</v>
      </c>
      <c r="B20" s="54"/>
      <c r="C20" s="81" t="s">
        <v>18</v>
      </c>
      <c r="D20" s="82"/>
      <c r="E20" s="56"/>
      <c r="F20" s="56"/>
      <c r="G20" s="56">
        <f t="shared" ref="G20:G139" si="1">ROUND(F20+(F20*$H$10),2)</f>
        <v>0</v>
      </c>
      <c r="H20" s="57">
        <f t="shared" ref="H20:H34" si="2">ROUND((E20*G20),2)</f>
        <v>0</v>
      </c>
      <c r="I20" s="14"/>
    </row>
    <row r="21" spans="1:11" ht="25.5">
      <c r="A21" s="58" t="s">
        <v>48</v>
      </c>
      <c r="B21" s="30" t="s">
        <v>49</v>
      </c>
      <c r="C21" s="38" t="s">
        <v>69</v>
      </c>
      <c r="D21" s="83" t="s">
        <v>70</v>
      </c>
      <c r="E21" s="36">
        <v>148.12350000000001</v>
      </c>
      <c r="F21" s="36">
        <v>2.78</v>
      </c>
      <c r="G21" s="36">
        <f t="shared" si="1"/>
        <v>3.71</v>
      </c>
      <c r="H21" s="59">
        <f t="shared" si="2"/>
        <v>549.54</v>
      </c>
      <c r="I21" s="14"/>
    </row>
    <row r="22" spans="1:11" ht="63.75">
      <c r="A22" s="58" t="s">
        <v>50</v>
      </c>
      <c r="B22" s="30" t="s">
        <v>51</v>
      </c>
      <c r="C22" s="38" t="s">
        <v>71</v>
      </c>
      <c r="D22" s="32" t="s">
        <v>72</v>
      </c>
      <c r="E22" s="36">
        <v>1184.9880000000001</v>
      </c>
      <c r="F22" s="36">
        <v>3.2</v>
      </c>
      <c r="G22" s="36">
        <f t="shared" si="1"/>
        <v>4.2699999999999996</v>
      </c>
      <c r="H22" s="59">
        <f t="shared" si="2"/>
        <v>5059.8999999999996</v>
      </c>
    </row>
    <row r="23" spans="1:11" ht="25.5">
      <c r="A23" s="58" t="s">
        <v>52</v>
      </c>
      <c r="B23" s="35" t="s">
        <v>20</v>
      </c>
      <c r="C23" s="38" t="s">
        <v>21</v>
      </c>
      <c r="D23" s="83" t="s">
        <v>38</v>
      </c>
      <c r="E23" s="36">
        <v>987.49</v>
      </c>
      <c r="F23" s="36">
        <v>0.82</v>
      </c>
      <c r="G23" s="36">
        <f t="shared" si="1"/>
        <v>1.0900000000000001</v>
      </c>
      <c r="H23" s="59">
        <f t="shared" si="2"/>
        <v>1076.3599999999999</v>
      </c>
    </row>
    <row r="24" spans="1:11" ht="25.5">
      <c r="A24" s="58" t="s">
        <v>53</v>
      </c>
      <c r="B24" s="30" t="s">
        <v>54</v>
      </c>
      <c r="C24" s="38" t="s">
        <v>73</v>
      </c>
      <c r="D24" s="83" t="s">
        <v>70</v>
      </c>
      <c r="E24" s="36">
        <v>148.12350000000001</v>
      </c>
      <c r="F24" s="36">
        <v>32.46</v>
      </c>
      <c r="G24" s="36">
        <f t="shared" si="1"/>
        <v>43.33</v>
      </c>
      <c r="H24" s="59">
        <f t="shared" si="2"/>
        <v>6418.19</v>
      </c>
    </row>
    <row r="25" spans="1:11" ht="51">
      <c r="A25" s="58" t="s">
        <v>55</v>
      </c>
      <c r="B25" s="35" t="s">
        <v>56</v>
      </c>
      <c r="C25" s="38" t="s">
        <v>74</v>
      </c>
      <c r="D25" s="32" t="s">
        <v>72</v>
      </c>
      <c r="E25" s="36">
        <v>1747.8573000000001</v>
      </c>
      <c r="F25" s="36">
        <v>0.93</v>
      </c>
      <c r="G25" s="36">
        <f t="shared" si="1"/>
        <v>1.24</v>
      </c>
      <c r="H25" s="59">
        <f t="shared" si="2"/>
        <v>2167.34</v>
      </c>
    </row>
    <row r="26" spans="1:11" ht="89.25">
      <c r="A26" s="58" t="s">
        <v>57</v>
      </c>
      <c r="B26" s="35" t="s">
        <v>22</v>
      </c>
      <c r="C26" s="38" t="s">
        <v>75</v>
      </c>
      <c r="D26" s="83" t="s">
        <v>70</v>
      </c>
      <c r="E26" s="36">
        <v>148.12350000000001</v>
      </c>
      <c r="F26" s="36">
        <v>13.72</v>
      </c>
      <c r="G26" s="36">
        <f t="shared" si="1"/>
        <v>18.309999999999999</v>
      </c>
      <c r="H26" s="59">
        <f t="shared" si="2"/>
        <v>2712.14</v>
      </c>
    </row>
    <row r="27" spans="1:11" ht="76.5">
      <c r="A27" s="58" t="s">
        <v>58</v>
      </c>
      <c r="B27" s="35" t="s">
        <v>26</v>
      </c>
      <c r="C27" s="38" t="s">
        <v>76</v>
      </c>
      <c r="D27" s="83" t="s">
        <v>38</v>
      </c>
      <c r="E27" s="36">
        <v>910.54600000000005</v>
      </c>
      <c r="F27" s="36">
        <v>6.62</v>
      </c>
      <c r="G27" s="36">
        <f t="shared" si="1"/>
        <v>8.84</v>
      </c>
      <c r="H27" s="59">
        <f t="shared" si="2"/>
        <v>8049.23</v>
      </c>
      <c r="I27" s="5"/>
    </row>
    <row r="28" spans="1:11" ht="76.5">
      <c r="A28" s="58" t="s">
        <v>59</v>
      </c>
      <c r="B28" s="35" t="s">
        <v>25</v>
      </c>
      <c r="C28" s="38" t="s">
        <v>77</v>
      </c>
      <c r="D28" s="32" t="s">
        <v>38</v>
      </c>
      <c r="E28" s="36">
        <v>910.54600000000005</v>
      </c>
      <c r="F28" s="36">
        <v>1.39</v>
      </c>
      <c r="G28" s="36">
        <f t="shared" si="1"/>
        <v>1.86</v>
      </c>
      <c r="H28" s="59">
        <f t="shared" si="2"/>
        <v>1693.62</v>
      </c>
      <c r="I28" s="5"/>
    </row>
    <row r="29" spans="1:11" ht="38.25">
      <c r="A29" s="58" t="s">
        <v>60</v>
      </c>
      <c r="B29" s="35" t="s">
        <v>24</v>
      </c>
      <c r="C29" s="38" t="s">
        <v>78</v>
      </c>
      <c r="D29" s="32" t="s">
        <v>79</v>
      </c>
      <c r="E29" s="36">
        <v>1659.7432487999999</v>
      </c>
      <c r="F29" s="36">
        <v>0.46</v>
      </c>
      <c r="G29" s="36">
        <f t="shared" si="1"/>
        <v>0.61</v>
      </c>
      <c r="H29" s="59">
        <f t="shared" si="2"/>
        <v>1012.44</v>
      </c>
    </row>
    <row r="30" spans="1:11" ht="51">
      <c r="A30" s="58" t="s">
        <v>61</v>
      </c>
      <c r="B30" s="35" t="s">
        <v>24</v>
      </c>
      <c r="C30" s="38" t="s">
        <v>80</v>
      </c>
      <c r="D30" s="32" t="s">
        <v>79</v>
      </c>
      <c r="E30" s="36">
        <v>757.57427199999995</v>
      </c>
      <c r="F30" s="36">
        <v>0.46</v>
      </c>
      <c r="G30" s="36">
        <f t="shared" si="1"/>
        <v>0.61</v>
      </c>
      <c r="H30" s="59">
        <f t="shared" si="2"/>
        <v>462.12</v>
      </c>
    </row>
    <row r="31" spans="1:11" ht="38.25">
      <c r="A31" s="58" t="s">
        <v>62</v>
      </c>
      <c r="B31" s="35" t="s">
        <v>23</v>
      </c>
      <c r="C31" s="38" t="s">
        <v>81</v>
      </c>
      <c r="D31" s="32" t="s">
        <v>72</v>
      </c>
      <c r="E31" s="36">
        <v>96.37218863999999</v>
      </c>
      <c r="F31" s="36">
        <v>1.17</v>
      </c>
      <c r="G31" s="36">
        <f t="shared" si="1"/>
        <v>1.56</v>
      </c>
      <c r="H31" s="59">
        <f t="shared" si="2"/>
        <v>150.34</v>
      </c>
    </row>
    <row r="32" spans="1:11" ht="38.25">
      <c r="A32" s="58" t="s">
        <v>63</v>
      </c>
      <c r="B32" s="35" t="s">
        <v>64</v>
      </c>
      <c r="C32" s="38" t="s">
        <v>82</v>
      </c>
      <c r="D32" s="32" t="s">
        <v>72</v>
      </c>
      <c r="E32" s="36">
        <v>417.94061399999998</v>
      </c>
      <c r="F32" s="36">
        <v>0.7</v>
      </c>
      <c r="G32" s="36">
        <f t="shared" si="1"/>
        <v>0.93</v>
      </c>
      <c r="H32" s="59">
        <f t="shared" si="2"/>
        <v>388.68</v>
      </c>
    </row>
    <row r="33" spans="1:12" ht="38.25">
      <c r="A33" s="58" t="s">
        <v>65</v>
      </c>
      <c r="B33" s="35" t="s">
        <v>66</v>
      </c>
      <c r="C33" s="38" t="s">
        <v>83</v>
      </c>
      <c r="D33" s="32" t="s">
        <v>72</v>
      </c>
      <c r="E33" s="36">
        <v>2349.2086799999997</v>
      </c>
      <c r="F33" s="36">
        <v>0.98</v>
      </c>
      <c r="G33" s="36">
        <f t="shared" si="1"/>
        <v>1.31</v>
      </c>
      <c r="H33" s="59">
        <f t="shared" si="2"/>
        <v>3077.46</v>
      </c>
    </row>
    <row r="34" spans="1:12" ht="38.25">
      <c r="A34" s="58" t="s">
        <v>67</v>
      </c>
      <c r="B34" s="35" t="s">
        <v>68</v>
      </c>
      <c r="C34" s="38" t="s">
        <v>84</v>
      </c>
      <c r="D34" s="32" t="s">
        <v>70</v>
      </c>
      <c r="E34" s="36">
        <v>27.316379999999999</v>
      </c>
      <c r="F34" s="36">
        <v>447.33</v>
      </c>
      <c r="G34" s="36">
        <f t="shared" si="1"/>
        <v>597.1</v>
      </c>
      <c r="H34" s="59">
        <f t="shared" si="2"/>
        <v>16310.61</v>
      </c>
      <c r="I34" s="14"/>
      <c r="J34" s="14"/>
    </row>
    <row r="35" spans="1:12">
      <c r="A35" s="58"/>
      <c r="B35" s="35"/>
      <c r="C35" s="196" t="s">
        <v>111</v>
      </c>
      <c r="D35" s="197"/>
      <c r="E35" s="197"/>
      <c r="F35" s="197"/>
      <c r="G35" s="198"/>
      <c r="H35" s="84">
        <f>SUM(H21:H34)</f>
        <v>49127.969999999994</v>
      </c>
      <c r="I35" s="14"/>
      <c r="J35" s="14"/>
    </row>
    <row r="36" spans="1:12">
      <c r="A36" s="60" t="s">
        <v>85</v>
      </c>
      <c r="B36" s="30"/>
      <c r="C36" s="31" t="s">
        <v>86</v>
      </c>
      <c r="D36" s="85"/>
      <c r="E36" s="32"/>
      <c r="F36" s="33"/>
      <c r="G36" s="33"/>
      <c r="H36" s="61"/>
      <c r="I36" s="15"/>
      <c r="J36" s="14"/>
    </row>
    <row r="37" spans="1:12" ht="51">
      <c r="A37" s="58" t="s">
        <v>87</v>
      </c>
      <c r="B37" s="35" t="s">
        <v>88</v>
      </c>
      <c r="C37" s="34" t="s">
        <v>89</v>
      </c>
      <c r="D37" s="32" t="s">
        <v>90</v>
      </c>
      <c r="E37" s="33">
        <v>256.48</v>
      </c>
      <c r="F37" s="33">
        <v>28.2</v>
      </c>
      <c r="G37" s="36">
        <f t="shared" si="1"/>
        <v>37.64</v>
      </c>
      <c r="H37" s="59">
        <f>ROUND((E37*G37),2)</f>
        <v>9653.91</v>
      </c>
      <c r="I37" s="20"/>
      <c r="J37" s="14"/>
    </row>
    <row r="38" spans="1:12">
      <c r="A38" s="78"/>
      <c r="B38" s="86"/>
      <c r="C38" s="232" t="s">
        <v>111</v>
      </c>
      <c r="D38" s="233"/>
      <c r="E38" s="233"/>
      <c r="F38" s="233"/>
      <c r="G38" s="234"/>
      <c r="H38" s="87">
        <f>SUM(H37)</f>
        <v>9653.91</v>
      </c>
      <c r="I38" s="20"/>
      <c r="J38" s="14"/>
    </row>
    <row r="39" spans="1:12" ht="42.75" customHeight="1">
      <c r="A39" s="27" t="s">
        <v>116</v>
      </c>
      <c r="B39" s="241" t="s">
        <v>194</v>
      </c>
      <c r="C39" s="242"/>
      <c r="D39" s="242"/>
      <c r="E39" s="242"/>
      <c r="F39" s="242"/>
      <c r="G39" s="242"/>
      <c r="H39" s="243"/>
      <c r="I39" s="28"/>
    </row>
    <row r="40" spans="1:12" s="21" customFormat="1">
      <c r="A40" s="60" t="s">
        <v>27</v>
      </c>
      <c r="B40" s="30"/>
      <c r="C40" s="31" t="s">
        <v>18</v>
      </c>
      <c r="D40" s="32"/>
      <c r="E40" s="33"/>
      <c r="F40" s="33"/>
      <c r="G40" s="33"/>
      <c r="H40" s="88"/>
    </row>
    <row r="41" spans="1:12" s="22" customFormat="1" ht="25.5">
      <c r="A41" s="58" t="s">
        <v>117</v>
      </c>
      <c r="B41" s="30" t="s">
        <v>49</v>
      </c>
      <c r="C41" s="34" t="s">
        <v>69</v>
      </c>
      <c r="D41" s="35" t="s">
        <v>70</v>
      </c>
      <c r="E41" s="33">
        <v>171.76830000000001</v>
      </c>
      <c r="F41" s="33">
        <v>2.78</v>
      </c>
      <c r="G41" s="36">
        <f t="shared" si="1"/>
        <v>3.71</v>
      </c>
      <c r="H41" s="59">
        <f t="shared" ref="H41:H54" si="3">ROUND((E41*G41),2)</f>
        <v>637.26</v>
      </c>
      <c r="L41" s="23"/>
    </row>
    <row r="42" spans="1:12" s="22" customFormat="1" ht="63.75">
      <c r="A42" s="58" t="s">
        <v>118</v>
      </c>
      <c r="B42" s="30" t="s">
        <v>51</v>
      </c>
      <c r="C42" s="34" t="s">
        <v>71</v>
      </c>
      <c r="D42" s="35" t="s">
        <v>72</v>
      </c>
      <c r="E42" s="33">
        <v>1374.1464000000001</v>
      </c>
      <c r="F42" s="33">
        <v>3.2</v>
      </c>
      <c r="G42" s="36">
        <f t="shared" si="1"/>
        <v>4.2699999999999996</v>
      </c>
      <c r="H42" s="59">
        <f t="shared" si="3"/>
        <v>5867.61</v>
      </c>
    </row>
    <row r="43" spans="1:12" s="21" customFormat="1" ht="25.5">
      <c r="A43" s="58" t="s">
        <v>119</v>
      </c>
      <c r="B43" s="35" t="s">
        <v>20</v>
      </c>
      <c r="C43" s="34" t="s">
        <v>21</v>
      </c>
      <c r="D43" s="32" t="s">
        <v>38</v>
      </c>
      <c r="E43" s="33">
        <v>1145.1220000000001</v>
      </c>
      <c r="F43" s="33">
        <v>0.82</v>
      </c>
      <c r="G43" s="36">
        <f t="shared" si="1"/>
        <v>1.0900000000000001</v>
      </c>
      <c r="H43" s="59">
        <f t="shared" si="3"/>
        <v>1248.18</v>
      </c>
    </row>
    <row r="44" spans="1:12" s="22" customFormat="1" ht="25.5">
      <c r="A44" s="58" t="s">
        <v>120</v>
      </c>
      <c r="B44" s="30" t="s">
        <v>54</v>
      </c>
      <c r="C44" s="29" t="s">
        <v>73</v>
      </c>
      <c r="D44" s="35" t="s">
        <v>70</v>
      </c>
      <c r="E44" s="33">
        <v>171.76830000000001</v>
      </c>
      <c r="F44" s="33">
        <v>32.46</v>
      </c>
      <c r="G44" s="36">
        <f t="shared" si="1"/>
        <v>43.33</v>
      </c>
      <c r="H44" s="59">
        <f t="shared" si="3"/>
        <v>7442.72</v>
      </c>
    </row>
    <row r="45" spans="1:12" s="21" customFormat="1" ht="51">
      <c r="A45" s="58" t="s">
        <v>121</v>
      </c>
      <c r="B45" s="35" t="s">
        <v>56</v>
      </c>
      <c r="C45" s="34" t="s">
        <v>74</v>
      </c>
      <c r="D45" s="35" t="s">
        <v>72</v>
      </c>
      <c r="E45" s="33">
        <v>2026.8659400000001</v>
      </c>
      <c r="F45" s="33">
        <v>0.93</v>
      </c>
      <c r="G45" s="36">
        <f t="shared" si="1"/>
        <v>1.24</v>
      </c>
      <c r="H45" s="59">
        <f t="shared" si="3"/>
        <v>2513.31</v>
      </c>
    </row>
    <row r="46" spans="1:12" s="21" customFormat="1" ht="89.25">
      <c r="A46" s="58" t="s">
        <v>122</v>
      </c>
      <c r="B46" s="35" t="s">
        <v>22</v>
      </c>
      <c r="C46" s="34" t="s">
        <v>75</v>
      </c>
      <c r="D46" s="35" t="s">
        <v>70</v>
      </c>
      <c r="E46" s="33">
        <v>171.76830000000001</v>
      </c>
      <c r="F46" s="33">
        <v>13.72</v>
      </c>
      <c r="G46" s="36">
        <f t="shared" si="1"/>
        <v>18.309999999999999</v>
      </c>
      <c r="H46" s="59">
        <f t="shared" si="3"/>
        <v>3145.08</v>
      </c>
    </row>
    <row r="47" spans="1:12" s="21" customFormat="1" ht="76.5">
      <c r="A47" s="58" t="s">
        <v>123</v>
      </c>
      <c r="B47" s="35" t="s">
        <v>26</v>
      </c>
      <c r="C47" s="34" t="s">
        <v>76</v>
      </c>
      <c r="D47" s="32" t="s">
        <v>38</v>
      </c>
      <c r="E47" s="33">
        <v>1062.46</v>
      </c>
      <c r="F47" s="33">
        <v>6.62</v>
      </c>
      <c r="G47" s="36">
        <f t="shared" si="1"/>
        <v>8.84</v>
      </c>
      <c r="H47" s="59">
        <f t="shared" si="3"/>
        <v>9392.15</v>
      </c>
    </row>
    <row r="48" spans="1:12" s="21" customFormat="1" ht="76.5">
      <c r="A48" s="58" t="s">
        <v>124</v>
      </c>
      <c r="B48" s="35" t="s">
        <v>25</v>
      </c>
      <c r="C48" s="34" t="s">
        <v>77</v>
      </c>
      <c r="D48" s="32" t="s">
        <v>38</v>
      </c>
      <c r="E48" s="33">
        <v>1062.46</v>
      </c>
      <c r="F48" s="33">
        <v>1.39</v>
      </c>
      <c r="G48" s="36">
        <f t="shared" si="1"/>
        <v>1.86</v>
      </c>
      <c r="H48" s="59">
        <f t="shared" si="3"/>
        <v>1976.18</v>
      </c>
      <c r="I48" s="24"/>
    </row>
    <row r="49" spans="1:9" s="21" customFormat="1" ht="38.25">
      <c r="A49" s="58" t="s">
        <v>125</v>
      </c>
      <c r="B49" s="35" t="s">
        <v>24</v>
      </c>
      <c r="C49" s="34" t="s">
        <v>78</v>
      </c>
      <c r="D49" s="32" t="s">
        <v>79</v>
      </c>
      <c r="E49" s="33">
        <v>1936.652088</v>
      </c>
      <c r="F49" s="33">
        <v>0.46</v>
      </c>
      <c r="G49" s="36">
        <f t="shared" si="1"/>
        <v>0.61</v>
      </c>
      <c r="H49" s="59">
        <f t="shared" si="3"/>
        <v>1181.3599999999999</v>
      </c>
      <c r="I49" s="24"/>
    </row>
    <row r="50" spans="1:9" s="21" customFormat="1" ht="51">
      <c r="A50" s="58" t="s">
        <v>126</v>
      </c>
      <c r="B50" s="35" t="s">
        <v>24</v>
      </c>
      <c r="C50" s="34" t="s">
        <v>80</v>
      </c>
      <c r="D50" s="32" t="s">
        <v>79</v>
      </c>
      <c r="E50" s="33">
        <v>883.96672000000001</v>
      </c>
      <c r="F50" s="33">
        <v>0.46</v>
      </c>
      <c r="G50" s="36">
        <f t="shared" si="1"/>
        <v>0.61</v>
      </c>
      <c r="H50" s="59">
        <f t="shared" si="3"/>
        <v>539.22</v>
      </c>
      <c r="I50" s="24"/>
    </row>
    <row r="51" spans="1:9" s="21" customFormat="1" ht="38.25">
      <c r="A51" s="58" t="s">
        <v>127</v>
      </c>
      <c r="B51" s="35" t="s">
        <v>23</v>
      </c>
      <c r="C51" s="34" t="s">
        <v>81</v>
      </c>
      <c r="D51" s="32" t="s">
        <v>72</v>
      </c>
      <c r="E51" s="33">
        <v>112.45076639999998</v>
      </c>
      <c r="F51" s="33">
        <v>1.17</v>
      </c>
      <c r="G51" s="36">
        <f t="shared" si="1"/>
        <v>1.56</v>
      </c>
      <c r="H51" s="59">
        <f t="shared" si="3"/>
        <v>175.42</v>
      </c>
      <c r="I51" s="24"/>
    </row>
    <row r="52" spans="1:9" s="21" customFormat="1" ht="38.25">
      <c r="A52" s="58" t="s">
        <v>128</v>
      </c>
      <c r="B52" s="35" t="s">
        <v>64</v>
      </c>
      <c r="C52" s="34" t="s">
        <v>82</v>
      </c>
      <c r="D52" s="32" t="s">
        <v>72</v>
      </c>
      <c r="E52" s="33">
        <v>487.66913999999997</v>
      </c>
      <c r="F52" s="33">
        <v>0.7</v>
      </c>
      <c r="G52" s="36">
        <f t="shared" si="1"/>
        <v>0.93</v>
      </c>
      <c r="H52" s="59">
        <f t="shared" si="3"/>
        <v>453.53</v>
      </c>
      <c r="I52" s="24"/>
    </row>
    <row r="53" spans="1:9" s="21" customFormat="1" ht="38.25">
      <c r="A53" s="58" t="s">
        <v>129</v>
      </c>
      <c r="B53" s="35" t="s">
        <v>66</v>
      </c>
      <c r="C53" s="34" t="s">
        <v>83</v>
      </c>
      <c r="D53" s="32" t="s">
        <v>72</v>
      </c>
      <c r="E53" s="33">
        <v>2741.1468</v>
      </c>
      <c r="F53" s="33">
        <v>0.98</v>
      </c>
      <c r="G53" s="36">
        <f t="shared" si="1"/>
        <v>1.31</v>
      </c>
      <c r="H53" s="59">
        <f t="shared" si="3"/>
        <v>3590.9</v>
      </c>
      <c r="I53" s="24"/>
    </row>
    <row r="54" spans="1:9" s="21" customFormat="1" ht="38.25">
      <c r="A54" s="58" t="s">
        <v>130</v>
      </c>
      <c r="B54" s="35" t="s">
        <v>68</v>
      </c>
      <c r="C54" s="34" t="s">
        <v>84</v>
      </c>
      <c r="D54" s="32" t="s">
        <v>70</v>
      </c>
      <c r="E54" s="33">
        <v>31.873799999999999</v>
      </c>
      <c r="F54" s="33">
        <v>447.33</v>
      </c>
      <c r="G54" s="36">
        <f t="shared" si="1"/>
        <v>597.1</v>
      </c>
      <c r="H54" s="59">
        <f t="shared" si="3"/>
        <v>19031.849999999999</v>
      </c>
      <c r="I54" s="24"/>
    </row>
    <row r="55" spans="1:9" s="21" customFormat="1">
      <c r="A55" s="58"/>
      <c r="B55" s="35"/>
      <c r="C55" s="196" t="s">
        <v>112</v>
      </c>
      <c r="D55" s="197"/>
      <c r="E55" s="197"/>
      <c r="F55" s="197"/>
      <c r="G55" s="198"/>
      <c r="H55" s="61">
        <f>SUM(H41:H54)</f>
        <v>57194.770000000004</v>
      </c>
      <c r="I55" s="24"/>
    </row>
    <row r="56" spans="1:9">
      <c r="A56" s="89" t="s">
        <v>131</v>
      </c>
      <c r="B56" s="37"/>
      <c r="C56" s="90" t="s">
        <v>86</v>
      </c>
      <c r="D56" s="32"/>
      <c r="E56" s="36"/>
      <c r="F56" s="36"/>
      <c r="G56" s="36">
        <f t="shared" si="1"/>
        <v>0</v>
      </c>
      <c r="H56" s="59">
        <f>ROUND((E56*G56),2)</f>
        <v>0</v>
      </c>
    </row>
    <row r="57" spans="1:9" ht="51">
      <c r="A57" s="89" t="s">
        <v>132</v>
      </c>
      <c r="B57" s="37" t="s">
        <v>88</v>
      </c>
      <c r="C57" s="38" t="s">
        <v>89</v>
      </c>
      <c r="D57" s="32" t="s">
        <v>90</v>
      </c>
      <c r="E57" s="36">
        <v>275.54000000000002</v>
      </c>
      <c r="F57" s="36">
        <v>28.2</v>
      </c>
      <c r="G57" s="36">
        <f t="shared" si="1"/>
        <v>37.64</v>
      </c>
      <c r="H57" s="59">
        <f>ROUND((E57*G57),2)</f>
        <v>10371.33</v>
      </c>
    </row>
    <row r="58" spans="1:9" ht="12.75" customHeight="1">
      <c r="A58" s="91"/>
      <c r="B58" s="238" t="s">
        <v>112</v>
      </c>
      <c r="C58" s="239"/>
      <c r="D58" s="239"/>
      <c r="E58" s="239"/>
      <c r="F58" s="239"/>
      <c r="G58" s="240"/>
      <c r="H58" s="80">
        <f>SUM(H57)</f>
        <v>10371.33</v>
      </c>
      <c r="I58" s="5"/>
    </row>
    <row r="59" spans="1:9" ht="42.75" customHeight="1">
      <c r="A59" s="27" t="s">
        <v>91</v>
      </c>
      <c r="B59" s="235" t="s">
        <v>195</v>
      </c>
      <c r="C59" s="236"/>
      <c r="D59" s="236"/>
      <c r="E59" s="236"/>
      <c r="F59" s="236"/>
      <c r="G59" s="236"/>
      <c r="H59" s="237"/>
    </row>
    <row r="60" spans="1:9">
      <c r="A60" s="72" t="s">
        <v>28</v>
      </c>
      <c r="B60" s="54"/>
      <c r="C60" s="81" t="s">
        <v>18</v>
      </c>
      <c r="D60" s="82"/>
      <c r="E60" s="55"/>
      <c r="F60" s="55"/>
      <c r="G60" s="56">
        <f t="shared" ref="G60:G77" si="4">ROUND(F60+(F60*$H$10),2)</f>
        <v>0</v>
      </c>
      <c r="H60" s="57">
        <f t="shared" ref="H60:H74" si="5">ROUND((E60*G60),2)</f>
        <v>0</v>
      </c>
    </row>
    <row r="61" spans="1:9" ht="25.5">
      <c r="A61" s="58" t="s">
        <v>92</v>
      </c>
      <c r="B61" s="30" t="s">
        <v>49</v>
      </c>
      <c r="C61" s="34" t="s">
        <v>69</v>
      </c>
      <c r="D61" s="35" t="s">
        <v>70</v>
      </c>
      <c r="E61" s="33">
        <v>122.65575</v>
      </c>
      <c r="F61" s="33">
        <v>2.78</v>
      </c>
      <c r="G61" s="36">
        <f t="shared" si="4"/>
        <v>3.71</v>
      </c>
      <c r="H61" s="59">
        <f t="shared" si="5"/>
        <v>455.05</v>
      </c>
    </row>
    <row r="62" spans="1:9" ht="63.75">
      <c r="A62" s="58" t="s">
        <v>93</v>
      </c>
      <c r="B62" s="30" t="s">
        <v>51</v>
      </c>
      <c r="C62" s="34" t="s">
        <v>71</v>
      </c>
      <c r="D62" s="35" t="s">
        <v>72</v>
      </c>
      <c r="E62" s="33">
        <v>981.24599999999998</v>
      </c>
      <c r="F62" s="33">
        <v>3.2</v>
      </c>
      <c r="G62" s="36">
        <f t="shared" si="4"/>
        <v>4.2699999999999996</v>
      </c>
      <c r="H62" s="59">
        <f t="shared" si="5"/>
        <v>4189.92</v>
      </c>
    </row>
    <row r="63" spans="1:9" ht="25.5">
      <c r="A63" s="58" t="s">
        <v>94</v>
      </c>
      <c r="B63" s="35" t="s">
        <v>20</v>
      </c>
      <c r="C63" s="34" t="s">
        <v>21</v>
      </c>
      <c r="D63" s="32" t="s">
        <v>38</v>
      </c>
      <c r="E63" s="33">
        <v>817.70500000000004</v>
      </c>
      <c r="F63" s="33">
        <v>0.82</v>
      </c>
      <c r="G63" s="36">
        <f t="shared" si="4"/>
        <v>1.0900000000000001</v>
      </c>
      <c r="H63" s="59">
        <f t="shared" si="5"/>
        <v>891.3</v>
      </c>
    </row>
    <row r="64" spans="1:9" ht="25.5">
      <c r="A64" s="58" t="s">
        <v>95</v>
      </c>
      <c r="B64" s="30" t="s">
        <v>54</v>
      </c>
      <c r="C64" s="29" t="s">
        <v>73</v>
      </c>
      <c r="D64" s="35" t="s">
        <v>70</v>
      </c>
      <c r="E64" s="33">
        <v>122.65575</v>
      </c>
      <c r="F64" s="33">
        <v>32.46</v>
      </c>
      <c r="G64" s="36">
        <f t="shared" si="4"/>
        <v>43.33</v>
      </c>
      <c r="H64" s="59">
        <f t="shared" si="5"/>
        <v>5314.67</v>
      </c>
    </row>
    <row r="65" spans="1:9" ht="51">
      <c r="A65" s="58" t="s">
        <v>97</v>
      </c>
      <c r="B65" s="35" t="s">
        <v>56</v>
      </c>
      <c r="C65" s="34" t="s">
        <v>74</v>
      </c>
      <c r="D65" s="35" t="s">
        <v>72</v>
      </c>
      <c r="E65" s="33">
        <v>1447.3378500000001</v>
      </c>
      <c r="F65" s="33">
        <v>0.93</v>
      </c>
      <c r="G65" s="36">
        <f t="shared" si="4"/>
        <v>1.24</v>
      </c>
      <c r="H65" s="59">
        <f t="shared" si="5"/>
        <v>1794.7</v>
      </c>
    </row>
    <row r="66" spans="1:9" ht="89.25">
      <c r="A66" s="58" t="s">
        <v>98</v>
      </c>
      <c r="B66" s="35" t="s">
        <v>22</v>
      </c>
      <c r="C66" s="34" t="s">
        <v>75</v>
      </c>
      <c r="D66" s="35" t="s">
        <v>70</v>
      </c>
      <c r="E66" s="33">
        <v>122.65575</v>
      </c>
      <c r="F66" s="33">
        <v>13.72</v>
      </c>
      <c r="G66" s="36">
        <f t="shared" si="4"/>
        <v>18.309999999999999</v>
      </c>
      <c r="H66" s="59">
        <f t="shared" si="5"/>
        <v>2245.83</v>
      </c>
    </row>
    <row r="67" spans="1:9" ht="76.5">
      <c r="A67" s="58" t="s">
        <v>99</v>
      </c>
      <c r="B67" s="35" t="s">
        <v>26</v>
      </c>
      <c r="C67" s="34" t="s">
        <v>76</v>
      </c>
      <c r="D67" s="32" t="s">
        <v>38</v>
      </c>
      <c r="E67" s="33">
        <v>750.37</v>
      </c>
      <c r="F67" s="33">
        <v>6.62</v>
      </c>
      <c r="G67" s="36">
        <f t="shared" si="4"/>
        <v>8.84</v>
      </c>
      <c r="H67" s="59">
        <f t="shared" si="5"/>
        <v>6633.27</v>
      </c>
    </row>
    <row r="68" spans="1:9" ht="76.5">
      <c r="A68" s="58" t="s">
        <v>100</v>
      </c>
      <c r="B68" s="35" t="s">
        <v>25</v>
      </c>
      <c r="C68" s="34" t="s">
        <v>77</v>
      </c>
      <c r="D68" s="32" t="s">
        <v>38</v>
      </c>
      <c r="E68" s="33">
        <v>750.37</v>
      </c>
      <c r="F68" s="33">
        <v>1.39</v>
      </c>
      <c r="G68" s="36">
        <f t="shared" si="4"/>
        <v>1.86</v>
      </c>
      <c r="H68" s="59">
        <f t="shared" si="5"/>
        <v>1395.69</v>
      </c>
    </row>
    <row r="69" spans="1:9" ht="38.25">
      <c r="A69" s="58" t="s">
        <v>101</v>
      </c>
      <c r="B69" s="35" t="s">
        <v>24</v>
      </c>
      <c r="C69" s="34" t="s">
        <v>78</v>
      </c>
      <c r="D69" s="32" t="s">
        <v>79</v>
      </c>
      <c r="E69" s="33">
        <v>1367.7744359999999</v>
      </c>
      <c r="F69" s="33">
        <v>0.46</v>
      </c>
      <c r="G69" s="36">
        <f t="shared" si="4"/>
        <v>0.61</v>
      </c>
      <c r="H69" s="59">
        <f t="shared" si="5"/>
        <v>834.34</v>
      </c>
    </row>
    <row r="70" spans="1:9" ht="51">
      <c r="A70" s="58" t="s">
        <v>102</v>
      </c>
      <c r="B70" s="35" t="s">
        <v>24</v>
      </c>
      <c r="C70" s="34" t="s">
        <v>80</v>
      </c>
      <c r="D70" s="32" t="s">
        <v>79</v>
      </c>
      <c r="E70" s="33">
        <v>624.30783999999994</v>
      </c>
      <c r="F70" s="33">
        <v>0.46</v>
      </c>
      <c r="G70" s="36">
        <f t="shared" si="4"/>
        <v>0.61</v>
      </c>
      <c r="H70" s="59">
        <f t="shared" si="5"/>
        <v>380.83</v>
      </c>
    </row>
    <row r="71" spans="1:9" ht="38.25">
      <c r="A71" s="58" t="s">
        <v>103</v>
      </c>
      <c r="B71" s="35" t="s">
        <v>23</v>
      </c>
      <c r="C71" s="34" t="s">
        <v>81</v>
      </c>
      <c r="D71" s="32" t="s">
        <v>72</v>
      </c>
      <c r="E71" s="33">
        <v>79.4191608</v>
      </c>
      <c r="F71" s="33">
        <v>1.17</v>
      </c>
      <c r="G71" s="36">
        <f t="shared" si="4"/>
        <v>1.56</v>
      </c>
      <c r="H71" s="59">
        <f t="shared" si="5"/>
        <v>123.89</v>
      </c>
    </row>
    <row r="72" spans="1:9" ht="38.25">
      <c r="A72" s="58" t="s">
        <v>104</v>
      </c>
      <c r="B72" s="35" t="s">
        <v>64</v>
      </c>
      <c r="C72" s="34" t="s">
        <v>82</v>
      </c>
      <c r="D72" s="32" t="s">
        <v>72</v>
      </c>
      <c r="E72" s="33">
        <v>344.41982999999993</v>
      </c>
      <c r="F72" s="33">
        <v>0.7</v>
      </c>
      <c r="G72" s="36">
        <f t="shared" si="4"/>
        <v>0.93</v>
      </c>
      <c r="H72" s="59">
        <f t="shared" si="5"/>
        <v>320.31</v>
      </c>
    </row>
    <row r="73" spans="1:9" ht="38.25">
      <c r="A73" s="58" t="s">
        <v>105</v>
      </c>
      <c r="B73" s="35" t="s">
        <v>66</v>
      </c>
      <c r="C73" s="34" t="s">
        <v>83</v>
      </c>
      <c r="D73" s="32" t="s">
        <v>72</v>
      </c>
      <c r="E73" s="33">
        <v>1935.9546</v>
      </c>
      <c r="F73" s="33">
        <v>0.98</v>
      </c>
      <c r="G73" s="36">
        <f t="shared" si="4"/>
        <v>1.31</v>
      </c>
      <c r="H73" s="59">
        <f t="shared" si="5"/>
        <v>2536.1</v>
      </c>
    </row>
    <row r="74" spans="1:9" ht="38.25">
      <c r="A74" s="58" t="s">
        <v>106</v>
      </c>
      <c r="B74" s="35" t="s">
        <v>68</v>
      </c>
      <c r="C74" s="34" t="s">
        <v>84</v>
      </c>
      <c r="D74" s="32" t="s">
        <v>70</v>
      </c>
      <c r="E74" s="33">
        <v>22.511099999999999</v>
      </c>
      <c r="F74" s="33">
        <v>447.33</v>
      </c>
      <c r="G74" s="36">
        <f t="shared" si="4"/>
        <v>597.1</v>
      </c>
      <c r="H74" s="59">
        <f t="shared" si="5"/>
        <v>13441.38</v>
      </c>
    </row>
    <row r="75" spans="1:9">
      <c r="A75" s="58"/>
      <c r="B75" s="35"/>
      <c r="C75" s="196" t="s">
        <v>112</v>
      </c>
      <c r="D75" s="197"/>
      <c r="E75" s="197"/>
      <c r="F75" s="197"/>
      <c r="G75" s="198"/>
      <c r="H75" s="61">
        <f>SUM(H61:H74)</f>
        <v>40557.279999999999</v>
      </c>
    </row>
    <row r="76" spans="1:9">
      <c r="A76" s="60" t="s">
        <v>107</v>
      </c>
      <c r="B76" s="30"/>
      <c r="C76" s="31" t="s">
        <v>86</v>
      </c>
      <c r="D76" s="32"/>
      <c r="E76" s="33"/>
      <c r="F76" s="33"/>
      <c r="G76" s="36">
        <f t="shared" si="4"/>
        <v>0</v>
      </c>
      <c r="H76" s="59">
        <f>ROUND((E76*G76),2)</f>
        <v>0</v>
      </c>
    </row>
    <row r="77" spans="1:9" ht="51">
      <c r="A77" s="58" t="s">
        <v>108</v>
      </c>
      <c r="B77" s="35" t="s">
        <v>88</v>
      </c>
      <c r="C77" s="34" t="s">
        <v>89</v>
      </c>
      <c r="D77" s="32" t="s">
        <v>90</v>
      </c>
      <c r="E77" s="33">
        <v>224.45</v>
      </c>
      <c r="F77" s="33">
        <v>28.2</v>
      </c>
      <c r="G77" s="36">
        <f t="shared" si="4"/>
        <v>37.64</v>
      </c>
      <c r="H77" s="59">
        <f>ROUND((E77*G77),2)</f>
        <v>8448.2999999999993</v>
      </c>
    </row>
    <row r="78" spans="1:9">
      <c r="A78" s="78"/>
      <c r="B78" s="86"/>
      <c r="C78" s="232" t="s">
        <v>112</v>
      </c>
      <c r="D78" s="233"/>
      <c r="E78" s="233"/>
      <c r="F78" s="233"/>
      <c r="G78" s="234"/>
      <c r="H78" s="80">
        <f>SUM(H77)</f>
        <v>8448.2999999999993</v>
      </c>
      <c r="I78" s="5"/>
    </row>
    <row r="79" spans="1:9" ht="41.25" customHeight="1">
      <c r="A79" s="27" t="s">
        <v>133</v>
      </c>
      <c r="B79" s="235" t="s">
        <v>196</v>
      </c>
      <c r="C79" s="236"/>
      <c r="D79" s="236"/>
      <c r="E79" s="236"/>
      <c r="F79" s="236"/>
      <c r="G79" s="236"/>
      <c r="H79" s="237"/>
    </row>
    <row r="80" spans="1:9">
      <c r="A80" s="72" t="s">
        <v>134</v>
      </c>
      <c r="B80" s="54"/>
      <c r="C80" s="81" t="s">
        <v>18</v>
      </c>
      <c r="D80" s="82"/>
      <c r="E80" s="55"/>
      <c r="F80" s="55"/>
      <c r="G80" s="56">
        <f t="shared" ref="G80:G94" si="6">ROUND(F80+(F80*$H$10),2)</f>
        <v>0</v>
      </c>
      <c r="H80" s="57">
        <f t="shared" ref="H80:H94" si="7">ROUND((E80*G80),2)</f>
        <v>0</v>
      </c>
    </row>
    <row r="81" spans="1:8" ht="25.5">
      <c r="A81" s="58" t="s">
        <v>135</v>
      </c>
      <c r="B81" s="30" t="s">
        <v>49</v>
      </c>
      <c r="C81" s="34" t="s">
        <v>69</v>
      </c>
      <c r="D81" s="35" t="s">
        <v>70</v>
      </c>
      <c r="E81" s="33">
        <v>155.32590000000002</v>
      </c>
      <c r="F81" s="33">
        <v>2.78</v>
      </c>
      <c r="G81" s="36">
        <f t="shared" si="6"/>
        <v>3.71</v>
      </c>
      <c r="H81" s="59">
        <f t="shared" si="7"/>
        <v>576.26</v>
      </c>
    </row>
    <row r="82" spans="1:8" ht="63.75">
      <c r="A82" s="58" t="s">
        <v>136</v>
      </c>
      <c r="B82" s="30" t="s">
        <v>51</v>
      </c>
      <c r="C82" s="34" t="s">
        <v>71</v>
      </c>
      <c r="D82" s="35" t="s">
        <v>72</v>
      </c>
      <c r="E82" s="33">
        <v>1242.6072000000001</v>
      </c>
      <c r="F82" s="33">
        <v>3.2</v>
      </c>
      <c r="G82" s="36">
        <f t="shared" si="6"/>
        <v>4.2699999999999996</v>
      </c>
      <c r="H82" s="59">
        <f t="shared" si="7"/>
        <v>5305.93</v>
      </c>
    </row>
    <row r="83" spans="1:8" ht="25.5">
      <c r="A83" s="58" t="s">
        <v>137</v>
      </c>
      <c r="B83" s="35" t="s">
        <v>20</v>
      </c>
      <c r="C83" s="34" t="s">
        <v>21</v>
      </c>
      <c r="D83" s="32" t="s">
        <v>38</v>
      </c>
      <c r="E83" s="33">
        <v>1035.5060000000001</v>
      </c>
      <c r="F83" s="33">
        <v>0.82</v>
      </c>
      <c r="G83" s="36">
        <f t="shared" si="6"/>
        <v>1.0900000000000001</v>
      </c>
      <c r="H83" s="59">
        <f t="shared" si="7"/>
        <v>1128.7</v>
      </c>
    </row>
    <row r="84" spans="1:8" ht="25.5">
      <c r="A84" s="58" t="s">
        <v>138</v>
      </c>
      <c r="B84" s="30" t="s">
        <v>54</v>
      </c>
      <c r="C84" s="29" t="s">
        <v>73</v>
      </c>
      <c r="D84" s="35" t="s">
        <v>70</v>
      </c>
      <c r="E84" s="33">
        <v>155.32590000000002</v>
      </c>
      <c r="F84" s="33">
        <v>32.46</v>
      </c>
      <c r="G84" s="36">
        <f t="shared" si="6"/>
        <v>43.33</v>
      </c>
      <c r="H84" s="59">
        <f t="shared" si="7"/>
        <v>6730.27</v>
      </c>
    </row>
    <row r="85" spans="1:8" ht="51">
      <c r="A85" s="58" t="s">
        <v>139</v>
      </c>
      <c r="B85" s="35" t="s">
        <v>56</v>
      </c>
      <c r="C85" s="34" t="s">
        <v>74</v>
      </c>
      <c r="D85" s="35" t="s">
        <v>72</v>
      </c>
      <c r="E85" s="33">
        <v>1832.8456200000003</v>
      </c>
      <c r="F85" s="33">
        <v>0.93</v>
      </c>
      <c r="G85" s="36">
        <f t="shared" si="6"/>
        <v>1.24</v>
      </c>
      <c r="H85" s="59">
        <f t="shared" si="7"/>
        <v>2272.73</v>
      </c>
    </row>
    <row r="86" spans="1:8" ht="89.25">
      <c r="A86" s="58" t="s">
        <v>140</v>
      </c>
      <c r="B86" s="35" t="s">
        <v>22</v>
      </c>
      <c r="C86" s="34" t="s">
        <v>75</v>
      </c>
      <c r="D86" s="35" t="s">
        <v>70</v>
      </c>
      <c r="E86" s="33">
        <v>155.32590000000002</v>
      </c>
      <c r="F86" s="33">
        <v>13.72</v>
      </c>
      <c r="G86" s="36">
        <f t="shared" si="6"/>
        <v>18.309999999999999</v>
      </c>
      <c r="H86" s="59">
        <f t="shared" si="7"/>
        <v>2844.02</v>
      </c>
    </row>
    <row r="87" spans="1:8" ht="76.5">
      <c r="A87" s="58" t="s">
        <v>141</v>
      </c>
      <c r="B87" s="35" t="s">
        <v>26</v>
      </c>
      <c r="C87" s="34" t="s">
        <v>76</v>
      </c>
      <c r="D87" s="32" t="s">
        <v>38</v>
      </c>
      <c r="E87" s="33">
        <v>950.45</v>
      </c>
      <c r="F87" s="33">
        <v>6.62</v>
      </c>
      <c r="G87" s="36">
        <f t="shared" si="6"/>
        <v>8.84</v>
      </c>
      <c r="H87" s="59">
        <f t="shared" si="7"/>
        <v>8401.98</v>
      </c>
    </row>
    <row r="88" spans="1:8" ht="76.5">
      <c r="A88" s="58" t="s">
        <v>142</v>
      </c>
      <c r="B88" s="35" t="s">
        <v>25</v>
      </c>
      <c r="C88" s="34" t="s">
        <v>77</v>
      </c>
      <c r="D88" s="32" t="s">
        <v>38</v>
      </c>
      <c r="E88" s="33">
        <v>950.45</v>
      </c>
      <c r="F88" s="33">
        <v>1.39</v>
      </c>
      <c r="G88" s="36">
        <f t="shared" si="6"/>
        <v>1.86</v>
      </c>
      <c r="H88" s="59">
        <f t="shared" si="7"/>
        <v>1767.84</v>
      </c>
    </row>
    <row r="89" spans="1:8" ht="38.25">
      <c r="A89" s="58" t="s">
        <v>143</v>
      </c>
      <c r="B89" s="35" t="s">
        <v>24</v>
      </c>
      <c r="C89" s="34" t="s">
        <v>78</v>
      </c>
      <c r="D89" s="32" t="s">
        <v>79</v>
      </c>
      <c r="E89" s="33">
        <v>1732.4802600000003</v>
      </c>
      <c r="F89" s="33">
        <v>0.46</v>
      </c>
      <c r="G89" s="36">
        <f t="shared" si="6"/>
        <v>0.61</v>
      </c>
      <c r="H89" s="59">
        <f t="shared" si="7"/>
        <v>1056.81</v>
      </c>
    </row>
    <row r="90" spans="1:8" ht="51">
      <c r="A90" s="58" t="s">
        <v>144</v>
      </c>
      <c r="B90" s="35" t="s">
        <v>24</v>
      </c>
      <c r="C90" s="34" t="s">
        <v>80</v>
      </c>
      <c r="D90" s="32" t="s">
        <v>79</v>
      </c>
      <c r="E90" s="33">
        <v>790.7743999999999</v>
      </c>
      <c r="F90" s="33">
        <v>0.46</v>
      </c>
      <c r="G90" s="36">
        <f t="shared" si="6"/>
        <v>0.61</v>
      </c>
      <c r="H90" s="59">
        <f t="shared" si="7"/>
        <v>482.37</v>
      </c>
    </row>
    <row r="91" spans="1:8" ht="38.25">
      <c r="A91" s="58" t="s">
        <v>145</v>
      </c>
      <c r="B91" s="35" t="s">
        <v>23</v>
      </c>
      <c r="C91" s="34" t="s">
        <v>81</v>
      </c>
      <c r="D91" s="32" t="s">
        <v>72</v>
      </c>
      <c r="E91" s="33">
        <v>100.595628</v>
      </c>
      <c r="F91" s="33">
        <v>1.17</v>
      </c>
      <c r="G91" s="36">
        <f t="shared" si="6"/>
        <v>1.56</v>
      </c>
      <c r="H91" s="59">
        <f t="shared" si="7"/>
        <v>156.93</v>
      </c>
    </row>
    <row r="92" spans="1:8" ht="38.25">
      <c r="A92" s="58" t="s">
        <v>146</v>
      </c>
      <c r="B92" s="35" t="s">
        <v>64</v>
      </c>
      <c r="C92" s="34" t="s">
        <v>82</v>
      </c>
      <c r="D92" s="32" t="s">
        <v>72</v>
      </c>
      <c r="E92" s="33">
        <v>436.25655</v>
      </c>
      <c r="F92" s="33">
        <v>0.7</v>
      </c>
      <c r="G92" s="36">
        <f t="shared" si="6"/>
        <v>0.93</v>
      </c>
      <c r="H92" s="59">
        <f t="shared" si="7"/>
        <v>405.72</v>
      </c>
    </row>
    <row r="93" spans="1:8" ht="38.25">
      <c r="A93" s="58" t="s">
        <v>147</v>
      </c>
      <c r="B93" s="35" t="s">
        <v>66</v>
      </c>
      <c r="C93" s="34" t="s">
        <v>83</v>
      </c>
      <c r="D93" s="32" t="s">
        <v>72</v>
      </c>
      <c r="E93" s="33">
        <v>2452.1610000000001</v>
      </c>
      <c r="F93" s="33">
        <v>0.98</v>
      </c>
      <c r="G93" s="36">
        <f t="shared" si="6"/>
        <v>1.31</v>
      </c>
      <c r="H93" s="59">
        <f t="shared" si="7"/>
        <v>3212.33</v>
      </c>
    </row>
    <row r="94" spans="1:8" ht="38.25">
      <c r="A94" s="58" t="s">
        <v>148</v>
      </c>
      <c r="B94" s="35" t="s">
        <v>68</v>
      </c>
      <c r="C94" s="34" t="s">
        <v>84</v>
      </c>
      <c r="D94" s="32" t="s">
        <v>70</v>
      </c>
      <c r="E94" s="33">
        <v>28.513500000000001</v>
      </c>
      <c r="F94" s="33">
        <v>447.33</v>
      </c>
      <c r="G94" s="36">
        <f t="shared" si="6"/>
        <v>597.1</v>
      </c>
      <c r="H94" s="59">
        <f t="shared" si="7"/>
        <v>17025.41</v>
      </c>
    </row>
    <row r="95" spans="1:8">
      <c r="A95" s="58"/>
      <c r="B95" s="35"/>
      <c r="C95" s="196" t="s">
        <v>112</v>
      </c>
      <c r="D95" s="197"/>
      <c r="E95" s="197"/>
      <c r="F95" s="197"/>
      <c r="G95" s="198"/>
      <c r="H95" s="61">
        <f>SUM(H81:H94)</f>
        <v>51367.3</v>
      </c>
    </row>
    <row r="96" spans="1:8">
      <c r="A96" s="58" t="s">
        <v>149</v>
      </c>
      <c r="B96" s="35"/>
      <c r="C96" s="34" t="s">
        <v>86</v>
      </c>
      <c r="D96" s="32"/>
      <c r="E96" s="33"/>
      <c r="F96" s="33"/>
      <c r="G96" s="36">
        <f t="shared" ref="G96:G97" si="8">ROUND(F96+(F96*$H$10),2)</f>
        <v>0</v>
      </c>
      <c r="H96" s="59">
        <f>ROUND((E96*G96),2)</f>
        <v>0</v>
      </c>
    </row>
    <row r="97" spans="1:9" ht="51">
      <c r="A97" s="58" t="s">
        <v>150</v>
      </c>
      <c r="B97" s="35" t="s">
        <v>88</v>
      </c>
      <c r="C97" s="34" t="s">
        <v>89</v>
      </c>
      <c r="D97" s="32" t="s">
        <v>90</v>
      </c>
      <c r="E97" s="33">
        <v>283.52</v>
      </c>
      <c r="F97" s="33">
        <v>28.2</v>
      </c>
      <c r="G97" s="36">
        <f t="shared" si="8"/>
        <v>37.64</v>
      </c>
      <c r="H97" s="59">
        <f>ROUND((E97*G97),2)</f>
        <v>10671.69</v>
      </c>
    </row>
    <row r="98" spans="1:9">
      <c r="A98" s="78"/>
      <c r="B98" s="86"/>
      <c r="C98" s="232" t="s">
        <v>112</v>
      </c>
      <c r="D98" s="233"/>
      <c r="E98" s="233"/>
      <c r="F98" s="233"/>
      <c r="G98" s="234"/>
      <c r="H98" s="80">
        <f>SUM(H97)</f>
        <v>10671.69</v>
      </c>
      <c r="I98" s="5"/>
    </row>
    <row r="99" spans="1:9" ht="42" customHeight="1" thickBot="1">
      <c r="A99" s="25" t="s">
        <v>151</v>
      </c>
      <c r="B99" s="190" t="s">
        <v>197</v>
      </c>
      <c r="C99" s="191"/>
      <c r="D99" s="191"/>
      <c r="E99" s="191"/>
      <c r="F99" s="191"/>
      <c r="G99" s="191"/>
      <c r="H99" s="192"/>
    </row>
    <row r="100" spans="1:9">
      <c r="A100" s="46" t="s">
        <v>152</v>
      </c>
      <c r="B100" s="39"/>
      <c r="C100" s="47" t="s">
        <v>18</v>
      </c>
      <c r="D100" s="48"/>
      <c r="E100" s="40"/>
      <c r="F100" s="40"/>
      <c r="G100" s="40"/>
      <c r="H100" s="49"/>
    </row>
    <row r="101" spans="1:9" ht="25.5">
      <c r="A101" s="43" t="s">
        <v>153</v>
      </c>
      <c r="B101" s="30" t="s">
        <v>49</v>
      </c>
      <c r="C101" s="34" t="s">
        <v>69</v>
      </c>
      <c r="D101" s="35" t="s">
        <v>70</v>
      </c>
      <c r="E101" s="33">
        <v>65.290500000000009</v>
      </c>
      <c r="F101" s="33">
        <v>2.78</v>
      </c>
      <c r="G101" s="36">
        <f t="shared" ref="G101" si="9">ROUND(F101+(F101*$H$10),2)</f>
        <v>3.71</v>
      </c>
      <c r="H101" s="42">
        <f t="shared" ref="H101:H114" si="10">ROUND((E101*G101),2)</f>
        <v>242.23</v>
      </c>
    </row>
    <row r="102" spans="1:9" ht="63.75">
      <c r="A102" s="43" t="s">
        <v>154</v>
      </c>
      <c r="B102" s="30" t="s">
        <v>51</v>
      </c>
      <c r="C102" s="34" t="s">
        <v>71</v>
      </c>
      <c r="D102" s="35" t="s">
        <v>72</v>
      </c>
      <c r="E102" s="33">
        <v>522.32400000000007</v>
      </c>
      <c r="F102" s="33">
        <v>3.2</v>
      </c>
      <c r="G102" s="36">
        <f t="shared" ref="G102:G117" si="11">ROUND(F102+(F102*$H$10),2)</f>
        <v>4.2699999999999996</v>
      </c>
      <c r="H102" s="42">
        <f t="shared" si="10"/>
        <v>2230.3200000000002</v>
      </c>
    </row>
    <row r="103" spans="1:9" ht="25.5">
      <c r="A103" s="43" t="s">
        <v>155</v>
      </c>
      <c r="B103" s="35" t="s">
        <v>20</v>
      </c>
      <c r="C103" s="34" t="s">
        <v>21</v>
      </c>
      <c r="D103" s="32" t="s">
        <v>38</v>
      </c>
      <c r="E103" s="33">
        <v>435.27000000000004</v>
      </c>
      <c r="F103" s="33">
        <v>0.82</v>
      </c>
      <c r="G103" s="36">
        <f t="shared" si="11"/>
        <v>1.0900000000000001</v>
      </c>
      <c r="H103" s="42">
        <f t="shared" si="10"/>
        <v>474.44</v>
      </c>
    </row>
    <row r="104" spans="1:9" ht="25.5">
      <c r="A104" s="43" t="s">
        <v>156</v>
      </c>
      <c r="B104" s="30" t="s">
        <v>96</v>
      </c>
      <c r="C104" s="29" t="s">
        <v>73</v>
      </c>
      <c r="D104" s="35" t="s">
        <v>70</v>
      </c>
      <c r="E104" s="33">
        <v>65.290500000000009</v>
      </c>
      <c r="F104" s="33">
        <v>22.42</v>
      </c>
      <c r="G104" s="36">
        <f t="shared" si="11"/>
        <v>29.93</v>
      </c>
      <c r="H104" s="42">
        <f t="shared" si="10"/>
        <v>1954.14</v>
      </c>
    </row>
    <row r="105" spans="1:9" ht="51">
      <c r="A105" s="43" t="s">
        <v>157</v>
      </c>
      <c r="B105" s="35" t="s">
        <v>56</v>
      </c>
      <c r="C105" s="34" t="s">
        <v>74</v>
      </c>
      <c r="D105" s="35" t="s">
        <v>72</v>
      </c>
      <c r="E105" s="33">
        <v>770.42790000000014</v>
      </c>
      <c r="F105" s="33">
        <v>0.93</v>
      </c>
      <c r="G105" s="36">
        <f t="shared" si="11"/>
        <v>1.24</v>
      </c>
      <c r="H105" s="42">
        <f t="shared" si="10"/>
        <v>955.33</v>
      </c>
    </row>
    <row r="106" spans="1:9" ht="89.25">
      <c r="A106" s="43" t="s">
        <v>158</v>
      </c>
      <c r="B106" s="35" t="s">
        <v>22</v>
      </c>
      <c r="C106" s="34" t="s">
        <v>75</v>
      </c>
      <c r="D106" s="35" t="s">
        <v>70</v>
      </c>
      <c r="E106" s="33">
        <v>65.290500000000009</v>
      </c>
      <c r="F106" s="33">
        <v>13.72</v>
      </c>
      <c r="G106" s="36">
        <f t="shared" si="11"/>
        <v>18.309999999999999</v>
      </c>
      <c r="H106" s="42">
        <f t="shared" si="10"/>
        <v>1195.47</v>
      </c>
    </row>
    <row r="107" spans="1:9" ht="76.5">
      <c r="A107" s="43" t="s">
        <v>159</v>
      </c>
      <c r="B107" s="35" t="s">
        <v>26</v>
      </c>
      <c r="C107" s="34" t="s">
        <v>76</v>
      </c>
      <c r="D107" s="32" t="s">
        <v>38</v>
      </c>
      <c r="E107" s="33">
        <v>398.67</v>
      </c>
      <c r="F107" s="33">
        <v>6.62</v>
      </c>
      <c r="G107" s="36">
        <f t="shared" si="11"/>
        <v>8.84</v>
      </c>
      <c r="H107" s="42">
        <f t="shared" si="10"/>
        <v>3524.24</v>
      </c>
    </row>
    <row r="108" spans="1:9" ht="76.5">
      <c r="A108" s="43" t="s">
        <v>160</v>
      </c>
      <c r="B108" s="35" t="s">
        <v>25</v>
      </c>
      <c r="C108" s="34" t="s">
        <v>77</v>
      </c>
      <c r="D108" s="32" t="s">
        <v>38</v>
      </c>
      <c r="E108" s="33">
        <v>398.67</v>
      </c>
      <c r="F108" s="33">
        <v>1.39</v>
      </c>
      <c r="G108" s="36">
        <f t="shared" si="11"/>
        <v>1.86</v>
      </c>
      <c r="H108" s="42">
        <f t="shared" si="10"/>
        <v>741.53</v>
      </c>
    </row>
    <row r="109" spans="1:9" ht="38.25">
      <c r="A109" s="43" t="s">
        <v>161</v>
      </c>
      <c r="B109" s="35" t="s">
        <v>24</v>
      </c>
      <c r="C109" s="34" t="s">
        <v>78</v>
      </c>
      <c r="D109" s="32" t="s">
        <v>79</v>
      </c>
      <c r="E109" s="33">
        <v>726.69567600000016</v>
      </c>
      <c r="F109" s="33">
        <v>0.46</v>
      </c>
      <c r="G109" s="36">
        <f t="shared" si="11"/>
        <v>0.61</v>
      </c>
      <c r="H109" s="42">
        <f t="shared" si="10"/>
        <v>443.28</v>
      </c>
    </row>
    <row r="110" spans="1:9" ht="51">
      <c r="A110" s="43" t="s">
        <v>162</v>
      </c>
      <c r="B110" s="35" t="s">
        <v>24</v>
      </c>
      <c r="C110" s="34" t="s">
        <v>80</v>
      </c>
      <c r="D110" s="32" t="s">
        <v>79</v>
      </c>
      <c r="E110" s="33">
        <v>331.69343999999995</v>
      </c>
      <c r="F110" s="33">
        <v>0.46</v>
      </c>
      <c r="G110" s="36">
        <f t="shared" si="11"/>
        <v>0.61</v>
      </c>
      <c r="H110" s="42">
        <f t="shared" si="10"/>
        <v>202.33</v>
      </c>
    </row>
    <row r="111" spans="1:9" ht="38.25">
      <c r="A111" s="43" t="s">
        <v>163</v>
      </c>
      <c r="B111" s="35" t="s">
        <v>23</v>
      </c>
      <c r="C111" s="34" t="s">
        <v>81</v>
      </c>
      <c r="D111" s="32" t="s">
        <v>72</v>
      </c>
      <c r="E111" s="33">
        <v>42.195232799999999</v>
      </c>
      <c r="F111" s="33">
        <v>1.17</v>
      </c>
      <c r="G111" s="36">
        <f t="shared" si="11"/>
        <v>1.56</v>
      </c>
      <c r="H111" s="42">
        <f t="shared" si="10"/>
        <v>65.819999999999993</v>
      </c>
    </row>
    <row r="112" spans="1:9" ht="38.25">
      <c r="A112" s="43" t="s">
        <v>164</v>
      </c>
      <c r="B112" s="35" t="s">
        <v>64</v>
      </c>
      <c r="C112" s="34" t="s">
        <v>82</v>
      </c>
      <c r="D112" s="32" t="s">
        <v>72</v>
      </c>
      <c r="E112" s="33">
        <v>182.98953</v>
      </c>
      <c r="F112" s="33">
        <v>0.7</v>
      </c>
      <c r="G112" s="36">
        <f t="shared" si="11"/>
        <v>0.93</v>
      </c>
      <c r="H112" s="42">
        <f t="shared" si="10"/>
        <v>170.18</v>
      </c>
    </row>
    <row r="113" spans="1:9" ht="38.25">
      <c r="A113" s="43" t="s">
        <v>165</v>
      </c>
      <c r="B113" s="35" t="s">
        <v>66</v>
      </c>
      <c r="C113" s="34" t="s">
        <v>83</v>
      </c>
      <c r="D113" s="32" t="s">
        <v>72</v>
      </c>
      <c r="E113" s="33">
        <v>1028.5686000000001</v>
      </c>
      <c r="F113" s="33">
        <v>0.98</v>
      </c>
      <c r="G113" s="36">
        <f t="shared" si="11"/>
        <v>1.31</v>
      </c>
      <c r="H113" s="42">
        <f t="shared" si="10"/>
        <v>1347.42</v>
      </c>
    </row>
    <row r="114" spans="1:9" ht="38.25">
      <c r="A114" s="43" t="s">
        <v>166</v>
      </c>
      <c r="B114" s="35" t="s">
        <v>68</v>
      </c>
      <c r="C114" s="34" t="s">
        <v>84</v>
      </c>
      <c r="D114" s="32" t="s">
        <v>70</v>
      </c>
      <c r="E114" s="33">
        <v>11.960100000000001</v>
      </c>
      <c r="F114" s="33">
        <v>447.33</v>
      </c>
      <c r="G114" s="36">
        <f t="shared" si="11"/>
        <v>597.1</v>
      </c>
      <c r="H114" s="42">
        <f t="shared" si="10"/>
        <v>7141.38</v>
      </c>
    </row>
    <row r="115" spans="1:9">
      <c r="A115" s="43"/>
      <c r="B115" s="35"/>
      <c r="C115" s="196" t="s">
        <v>113</v>
      </c>
      <c r="D115" s="197"/>
      <c r="E115" s="197"/>
      <c r="F115" s="197"/>
      <c r="G115" s="198"/>
      <c r="H115" s="44">
        <f>SUM(H101:H114)</f>
        <v>20688.11</v>
      </c>
    </row>
    <row r="116" spans="1:9">
      <c r="A116" s="41" t="s">
        <v>167</v>
      </c>
      <c r="B116" s="30"/>
      <c r="C116" s="34" t="s">
        <v>86</v>
      </c>
      <c r="D116" s="32"/>
      <c r="E116" s="33"/>
      <c r="F116" s="33"/>
      <c r="G116" s="36"/>
      <c r="H116" s="50"/>
    </row>
    <row r="117" spans="1:9" ht="51">
      <c r="A117" s="41" t="s">
        <v>168</v>
      </c>
      <c r="B117" s="35" t="s">
        <v>88</v>
      </c>
      <c r="C117" s="34" t="s">
        <v>89</v>
      </c>
      <c r="D117" s="32" t="s">
        <v>90</v>
      </c>
      <c r="E117" s="33">
        <v>122</v>
      </c>
      <c r="F117" s="33">
        <v>28.2</v>
      </c>
      <c r="G117" s="36">
        <f t="shared" si="11"/>
        <v>37.64</v>
      </c>
      <c r="H117" s="42">
        <f>ROUND((E117*G117),2)</f>
        <v>4592.08</v>
      </c>
    </row>
    <row r="118" spans="1:9" ht="13.5" thickBot="1">
      <c r="A118" s="51"/>
      <c r="B118" s="52"/>
      <c r="C118" s="193" t="s">
        <v>114</v>
      </c>
      <c r="D118" s="194"/>
      <c r="E118" s="194"/>
      <c r="F118" s="194"/>
      <c r="G118" s="195"/>
      <c r="H118" s="53">
        <f>SUM(H117)</f>
        <v>4592.08</v>
      </c>
      <c r="I118" s="5"/>
    </row>
    <row r="119" spans="1:9" ht="42" customHeight="1">
      <c r="A119" s="13" t="s">
        <v>169</v>
      </c>
      <c r="B119" s="69" t="s">
        <v>198</v>
      </c>
      <c r="C119" s="70"/>
      <c r="D119" s="70"/>
      <c r="E119" s="70"/>
      <c r="F119" s="70"/>
      <c r="G119" s="70"/>
      <c r="H119" s="71"/>
    </row>
    <row r="120" spans="1:9" ht="26.25" customHeight="1">
      <c r="A120" s="72" t="s">
        <v>170</v>
      </c>
      <c r="B120" s="205" t="s">
        <v>18</v>
      </c>
      <c r="C120" s="206"/>
      <c r="D120" s="206"/>
      <c r="E120" s="206"/>
      <c r="F120" s="206"/>
      <c r="G120" s="206"/>
      <c r="H120" s="207"/>
    </row>
    <row r="121" spans="1:9" ht="25.5">
      <c r="A121" s="58" t="s">
        <v>171</v>
      </c>
      <c r="B121" s="30" t="s">
        <v>49</v>
      </c>
      <c r="C121" s="34" t="s">
        <v>69</v>
      </c>
      <c r="D121" s="35" t="s">
        <v>70</v>
      </c>
      <c r="E121" s="33">
        <v>70.426500000000004</v>
      </c>
      <c r="F121" s="33">
        <v>2.78</v>
      </c>
      <c r="G121" s="36">
        <f t="shared" ref="G121" si="12">ROUND(F121+(F121*$H$10),2)</f>
        <v>3.71</v>
      </c>
      <c r="H121" s="59">
        <f t="shared" ref="H121:H134" si="13">ROUND((E121*G121),2)</f>
        <v>261.27999999999997</v>
      </c>
    </row>
    <row r="122" spans="1:9" ht="63.75">
      <c r="A122" s="58" t="s">
        <v>172</v>
      </c>
      <c r="B122" s="30" t="s">
        <v>51</v>
      </c>
      <c r="C122" s="34" t="s">
        <v>71</v>
      </c>
      <c r="D122" s="35" t="s">
        <v>72</v>
      </c>
      <c r="E122" s="33">
        <v>563.41200000000003</v>
      </c>
      <c r="F122" s="33">
        <v>3.2</v>
      </c>
      <c r="G122" s="36">
        <f t="shared" ref="G122:G137" si="14">ROUND(F122+(F122*$H$10),2)</f>
        <v>4.2699999999999996</v>
      </c>
      <c r="H122" s="59">
        <f t="shared" si="13"/>
        <v>2405.77</v>
      </c>
    </row>
    <row r="123" spans="1:9" ht="25.5">
      <c r="A123" s="58" t="s">
        <v>173</v>
      </c>
      <c r="B123" s="35" t="s">
        <v>20</v>
      </c>
      <c r="C123" s="34" t="s">
        <v>21</v>
      </c>
      <c r="D123" s="32" t="s">
        <v>38</v>
      </c>
      <c r="E123" s="33">
        <v>469.51000000000005</v>
      </c>
      <c r="F123" s="33">
        <v>0.82</v>
      </c>
      <c r="G123" s="36">
        <f t="shared" si="14"/>
        <v>1.0900000000000001</v>
      </c>
      <c r="H123" s="59">
        <f t="shared" si="13"/>
        <v>511.77</v>
      </c>
    </row>
    <row r="124" spans="1:9" ht="25.5">
      <c r="A124" s="58" t="s">
        <v>174</v>
      </c>
      <c r="B124" s="30" t="s">
        <v>54</v>
      </c>
      <c r="C124" s="29" t="s">
        <v>73</v>
      </c>
      <c r="D124" s="35" t="s">
        <v>70</v>
      </c>
      <c r="E124" s="33">
        <v>70.426500000000004</v>
      </c>
      <c r="F124" s="33">
        <v>32.46</v>
      </c>
      <c r="G124" s="36">
        <f t="shared" si="14"/>
        <v>43.33</v>
      </c>
      <c r="H124" s="59">
        <f t="shared" si="13"/>
        <v>3051.58</v>
      </c>
    </row>
    <row r="125" spans="1:9" ht="51">
      <c r="A125" s="58" t="s">
        <v>175</v>
      </c>
      <c r="B125" s="35" t="s">
        <v>56</v>
      </c>
      <c r="C125" s="34" t="s">
        <v>74</v>
      </c>
      <c r="D125" s="35" t="s">
        <v>72</v>
      </c>
      <c r="E125" s="33">
        <v>831.03270000000009</v>
      </c>
      <c r="F125" s="33">
        <v>0.93</v>
      </c>
      <c r="G125" s="36">
        <f t="shared" si="14"/>
        <v>1.24</v>
      </c>
      <c r="H125" s="59">
        <f t="shared" si="13"/>
        <v>1030.48</v>
      </c>
    </row>
    <row r="126" spans="1:9" ht="89.25">
      <c r="A126" s="58" t="s">
        <v>176</v>
      </c>
      <c r="B126" s="35" t="s">
        <v>22</v>
      </c>
      <c r="C126" s="34" t="s">
        <v>75</v>
      </c>
      <c r="D126" s="35" t="s">
        <v>70</v>
      </c>
      <c r="E126" s="33">
        <v>70.426500000000004</v>
      </c>
      <c r="F126" s="33">
        <v>13.72</v>
      </c>
      <c r="G126" s="36">
        <f t="shared" si="14"/>
        <v>18.309999999999999</v>
      </c>
      <c r="H126" s="59">
        <f t="shared" si="13"/>
        <v>1289.51</v>
      </c>
    </row>
    <row r="127" spans="1:9" ht="76.5">
      <c r="A127" s="58" t="s">
        <v>177</v>
      </c>
      <c r="B127" s="35" t="s">
        <v>26</v>
      </c>
      <c r="C127" s="34" t="s">
        <v>76</v>
      </c>
      <c r="D127" s="32" t="s">
        <v>38</v>
      </c>
      <c r="E127" s="33">
        <v>426.91</v>
      </c>
      <c r="F127" s="33">
        <v>6.62</v>
      </c>
      <c r="G127" s="36">
        <f t="shared" si="14"/>
        <v>8.84</v>
      </c>
      <c r="H127" s="59">
        <f t="shared" si="13"/>
        <v>3773.88</v>
      </c>
    </row>
    <row r="128" spans="1:9" ht="76.5">
      <c r="A128" s="58" t="s">
        <v>178</v>
      </c>
      <c r="B128" s="35" t="s">
        <v>25</v>
      </c>
      <c r="C128" s="34" t="s">
        <v>77</v>
      </c>
      <c r="D128" s="32" t="s">
        <v>38</v>
      </c>
      <c r="E128" s="33">
        <v>426.91</v>
      </c>
      <c r="F128" s="33">
        <v>1.39</v>
      </c>
      <c r="G128" s="36">
        <f t="shared" si="14"/>
        <v>1.86</v>
      </c>
      <c r="H128" s="59">
        <f t="shared" si="13"/>
        <v>794.05</v>
      </c>
    </row>
    <row r="129" spans="1:9" ht="38.25">
      <c r="A129" s="58" t="s">
        <v>179</v>
      </c>
      <c r="B129" s="35" t="s">
        <v>24</v>
      </c>
      <c r="C129" s="34" t="s">
        <v>78</v>
      </c>
      <c r="D129" s="32" t="s">
        <v>79</v>
      </c>
      <c r="E129" s="33">
        <v>778.17154800000003</v>
      </c>
      <c r="F129" s="33">
        <v>0.46</v>
      </c>
      <c r="G129" s="36">
        <f t="shared" si="14"/>
        <v>0.61</v>
      </c>
      <c r="H129" s="59">
        <f t="shared" si="13"/>
        <v>474.68</v>
      </c>
    </row>
    <row r="130" spans="1:9" ht="51">
      <c r="A130" s="58" t="s">
        <v>180</v>
      </c>
      <c r="B130" s="35" t="s">
        <v>24</v>
      </c>
      <c r="C130" s="34" t="s">
        <v>80</v>
      </c>
      <c r="D130" s="32" t="s">
        <v>79</v>
      </c>
      <c r="E130" s="33">
        <v>355.18912</v>
      </c>
      <c r="F130" s="33">
        <v>0.46</v>
      </c>
      <c r="G130" s="36">
        <f t="shared" si="14"/>
        <v>0.61</v>
      </c>
      <c r="H130" s="59">
        <f t="shared" si="13"/>
        <v>216.67</v>
      </c>
    </row>
    <row r="131" spans="1:9" ht="38.25">
      <c r="A131" s="58" t="s">
        <v>181</v>
      </c>
      <c r="B131" s="35" t="s">
        <v>23</v>
      </c>
      <c r="C131" s="34" t="s">
        <v>81</v>
      </c>
      <c r="D131" s="32" t="s">
        <v>72</v>
      </c>
      <c r="E131" s="33">
        <v>45.184154400000004</v>
      </c>
      <c r="F131" s="33">
        <v>1.17</v>
      </c>
      <c r="G131" s="36">
        <f t="shared" si="14"/>
        <v>1.56</v>
      </c>
      <c r="H131" s="59">
        <f t="shared" si="13"/>
        <v>70.489999999999995</v>
      </c>
    </row>
    <row r="132" spans="1:9" ht="38.25">
      <c r="A132" s="58" t="s">
        <v>182</v>
      </c>
      <c r="B132" s="35" t="s">
        <v>64</v>
      </c>
      <c r="C132" s="34" t="s">
        <v>82</v>
      </c>
      <c r="D132" s="32" t="s">
        <v>72</v>
      </c>
      <c r="E132" s="33">
        <v>195.95168999999996</v>
      </c>
      <c r="F132" s="33">
        <v>0.7</v>
      </c>
      <c r="G132" s="36">
        <f t="shared" si="14"/>
        <v>0.93</v>
      </c>
      <c r="H132" s="59">
        <f t="shared" si="13"/>
        <v>182.24</v>
      </c>
    </row>
    <row r="133" spans="1:9" ht="38.25">
      <c r="A133" s="58" t="s">
        <v>183</v>
      </c>
      <c r="B133" s="35" t="s">
        <v>66</v>
      </c>
      <c r="C133" s="34" t="s">
        <v>83</v>
      </c>
      <c r="D133" s="32" t="s">
        <v>72</v>
      </c>
      <c r="E133" s="33">
        <v>1101.4277999999999</v>
      </c>
      <c r="F133" s="33">
        <v>0.98</v>
      </c>
      <c r="G133" s="36">
        <f t="shared" si="14"/>
        <v>1.31</v>
      </c>
      <c r="H133" s="59">
        <f t="shared" si="13"/>
        <v>1442.87</v>
      </c>
    </row>
    <row r="134" spans="1:9" ht="38.25">
      <c r="A134" s="58" t="s">
        <v>184</v>
      </c>
      <c r="B134" s="35" t="s">
        <v>68</v>
      </c>
      <c r="C134" s="34" t="s">
        <v>84</v>
      </c>
      <c r="D134" s="32" t="s">
        <v>70</v>
      </c>
      <c r="E134" s="33">
        <v>12.8073</v>
      </c>
      <c r="F134" s="33">
        <v>447.33</v>
      </c>
      <c r="G134" s="36">
        <f t="shared" si="14"/>
        <v>597.1</v>
      </c>
      <c r="H134" s="59">
        <f t="shared" si="13"/>
        <v>7647.24</v>
      </c>
    </row>
    <row r="135" spans="1:9">
      <c r="A135" s="60"/>
      <c r="B135" s="35"/>
      <c r="C135" s="196" t="s">
        <v>113</v>
      </c>
      <c r="D135" s="197"/>
      <c r="E135" s="197"/>
      <c r="F135" s="197"/>
      <c r="G135" s="198"/>
      <c r="H135" s="61">
        <f>SUM(H121:H134)</f>
        <v>23152.510000000002</v>
      </c>
    </row>
    <row r="136" spans="1:9" s="21" customFormat="1">
      <c r="A136" s="60" t="s">
        <v>185</v>
      </c>
      <c r="B136" s="30"/>
      <c r="C136" s="31" t="s">
        <v>86</v>
      </c>
      <c r="D136" s="32"/>
      <c r="E136" s="33"/>
      <c r="F136" s="33"/>
      <c r="G136" s="36"/>
      <c r="H136" s="59"/>
    </row>
    <row r="137" spans="1:9" s="21" customFormat="1" ht="51">
      <c r="A137" s="58" t="s">
        <v>186</v>
      </c>
      <c r="B137" s="35" t="s">
        <v>88</v>
      </c>
      <c r="C137" s="34" t="s">
        <v>89</v>
      </c>
      <c r="D137" s="32" t="s">
        <v>90</v>
      </c>
      <c r="E137" s="33">
        <v>142</v>
      </c>
      <c r="F137" s="33">
        <v>28.2</v>
      </c>
      <c r="G137" s="36">
        <f t="shared" si="14"/>
        <v>37.64</v>
      </c>
      <c r="H137" s="59">
        <f>ROUND((E137*G137),2)</f>
        <v>5344.88</v>
      </c>
    </row>
    <row r="138" spans="1:9">
      <c r="A138" s="58"/>
      <c r="B138" s="35"/>
      <c r="C138" s="196" t="s">
        <v>113</v>
      </c>
      <c r="D138" s="197"/>
      <c r="E138" s="197"/>
      <c r="F138" s="197"/>
      <c r="G138" s="198"/>
      <c r="H138" s="61">
        <f>SUM(H137)</f>
        <v>5344.88</v>
      </c>
      <c r="I138" s="5"/>
    </row>
    <row r="139" spans="1:9">
      <c r="A139" s="62"/>
      <c r="B139" s="63"/>
      <c r="C139" s="64"/>
      <c r="D139" s="65"/>
      <c r="E139" s="66"/>
      <c r="F139" s="67"/>
      <c r="G139" s="67">
        <f t="shared" si="1"/>
        <v>0</v>
      </c>
      <c r="H139" s="68">
        <f>ROUND((E139*G139),2)</f>
        <v>0</v>
      </c>
    </row>
    <row r="140" spans="1:9" ht="12.75" customHeight="1">
      <c r="A140" s="199" t="s">
        <v>29</v>
      </c>
      <c r="B140" s="200"/>
      <c r="C140" s="200"/>
      <c r="D140" s="200"/>
      <c r="E140" s="200"/>
      <c r="F140" s="200"/>
      <c r="G140" s="201"/>
      <c r="H140" s="45">
        <f>H18+H35+H38+H55+H58+H75+H78+H95+H98+H115+H118+H135+H138</f>
        <v>308749.84519999998</v>
      </c>
    </row>
    <row r="141" spans="1:9">
      <c r="A141" s="6"/>
      <c r="B141" s="6"/>
      <c r="C141" s="6"/>
      <c r="D141" s="6"/>
      <c r="E141" s="6"/>
      <c r="F141" s="6"/>
      <c r="G141" s="6"/>
      <c r="H141" s="7"/>
    </row>
    <row r="142" spans="1:9">
      <c r="A142" s="8"/>
      <c r="B142" s="8"/>
      <c r="C142" s="8"/>
      <c r="D142" s="8"/>
      <c r="E142" s="8"/>
      <c r="F142" s="8"/>
      <c r="G142" s="8"/>
      <c r="H142" s="8"/>
    </row>
    <row r="143" spans="1:9">
      <c r="A143" s="8"/>
      <c r="B143" s="189"/>
      <c r="C143" s="189"/>
      <c r="D143" s="8"/>
      <c r="E143" s="189"/>
      <c r="F143" s="189"/>
      <c r="G143" s="12"/>
      <c r="H143" s="8"/>
    </row>
    <row r="144" spans="1:9">
      <c r="A144" s="9"/>
      <c r="B144" s="187" t="s">
        <v>189</v>
      </c>
      <c r="C144" s="187"/>
      <c r="D144" s="9"/>
      <c r="E144" s="187" t="s">
        <v>188</v>
      </c>
      <c r="F144" s="187"/>
      <c r="G144" s="11"/>
      <c r="H144" s="9"/>
    </row>
    <row r="145" spans="1:8">
      <c r="B145" s="208" t="s">
        <v>192</v>
      </c>
      <c r="C145" s="208"/>
    </row>
    <row r="148" spans="1:8">
      <c r="A148" s="8"/>
      <c r="B148" s="189"/>
      <c r="C148" s="189"/>
      <c r="D148" s="8"/>
      <c r="E148" s="186"/>
      <c r="F148" s="186"/>
      <c r="G148" s="12"/>
      <c r="H148" s="8"/>
    </row>
    <row r="149" spans="1:8">
      <c r="A149" s="9"/>
      <c r="B149" s="187" t="s">
        <v>190</v>
      </c>
      <c r="C149" s="187"/>
      <c r="D149" s="9"/>
      <c r="E149" s="188"/>
      <c r="F149" s="188"/>
      <c r="G149" s="11"/>
      <c r="H149" s="9"/>
    </row>
    <row r="150" spans="1:8">
      <c r="B150" s="208" t="s">
        <v>191</v>
      </c>
      <c r="C150" s="208"/>
    </row>
    <row r="151" spans="1:8">
      <c r="B151" s="92"/>
      <c r="C151" s="92"/>
    </row>
  </sheetData>
  <mergeCells count="45">
    <mergeCell ref="A1:H1"/>
    <mergeCell ref="B120:H120"/>
    <mergeCell ref="B150:C150"/>
    <mergeCell ref="B145:C145"/>
    <mergeCell ref="A2:H2"/>
    <mergeCell ref="F9:F10"/>
    <mergeCell ref="E9:E10"/>
    <mergeCell ref="F7:H7"/>
    <mergeCell ref="A6:E6"/>
    <mergeCell ref="A7:E7"/>
    <mergeCell ref="E8:H8"/>
    <mergeCell ref="A4:H4"/>
    <mergeCell ref="F6:H6"/>
    <mergeCell ref="C18:G18"/>
    <mergeCell ref="C35:G35"/>
    <mergeCell ref="C98:G98"/>
    <mergeCell ref="B149:C149"/>
    <mergeCell ref="E149:F149"/>
    <mergeCell ref="B148:C148"/>
    <mergeCell ref="B99:H99"/>
    <mergeCell ref="C118:G118"/>
    <mergeCell ref="C135:G135"/>
    <mergeCell ref="B144:C144"/>
    <mergeCell ref="E144:F144"/>
    <mergeCell ref="E143:F143"/>
    <mergeCell ref="B143:C143"/>
    <mergeCell ref="A140:G140"/>
    <mergeCell ref="C115:G115"/>
    <mergeCell ref="C138:G138"/>
    <mergeCell ref="A3:H3"/>
    <mergeCell ref="A8:D8"/>
    <mergeCell ref="A10:D10"/>
    <mergeCell ref="A9:D9"/>
    <mergeCell ref="E148:F148"/>
    <mergeCell ref="A11:H11"/>
    <mergeCell ref="C95:G95"/>
    <mergeCell ref="B79:H79"/>
    <mergeCell ref="C78:G78"/>
    <mergeCell ref="C75:G75"/>
    <mergeCell ref="B59:H59"/>
    <mergeCell ref="B58:G58"/>
    <mergeCell ref="C55:G55"/>
    <mergeCell ref="B39:H39"/>
    <mergeCell ref="B19:H19"/>
    <mergeCell ref="C38:G38"/>
  </mergeCells>
  <phoneticPr fontId="4" type="noConversion"/>
  <printOptions horizontalCentered="1"/>
  <pageMargins left="0.78740157480314965" right="0.19685039370078741" top="0.39370078740157483" bottom="0.39370078740157483" header="0" footer="0"/>
  <pageSetup paperSize="9" fitToHeight="0" orientation="landscape" r:id="rId1"/>
  <headerFooter alignWithMargins="0"/>
  <drawing r:id="rId2"/>
  <legacyDrawing r:id="rId3"/>
  <oleObjects>
    <oleObject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34"/>
  <sheetViews>
    <sheetView view="pageBreakPreview" topLeftCell="A113" zoomScale="85" zoomScaleSheetLayoutView="85" workbookViewId="0">
      <selection activeCell="A125" sqref="A125:E125"/>
    </sheetView>
  </sheetViews>
  <sheetFormatPr defaultRowHeight="12.75"/>
  <cols>
    <col min="1" max="1" width="9.7109375" style="24" customWidth="1"/>
    <col min="2" max="2" width="60.28515625" style="24" customWidth="1"/>
    <col min="3" max="3" width="48" style="24" customWidth="1"/>
    <col min="4" max="4" width="12.42578125" style="24" customWidth="1"/>
    <col min="5" max="5" width="16.42578125" style="153" customWidth="1"/>
    <col min="6" max="10" width="9.140625" style="21"/>
    <col min="11" max="11" width="23.5703125" style="21" customWidth="1"/>
    <col min="12" max="12" width="10.85546875" style="21" customWidth="1"/>
    <col min="13" max="256" width="9.140625" style="21"/>
    <col min="257" max="257" width="9.7109375" style="21" customWidth="1"/>
    <col min="258" max="258" width="60.28515625" style="21" customWidth="1"/>
    <col min="259" max="259" width="48" style="21" customWidth="1"/>
    <col min="260" max="260" width="12.42578125" style="21" customWidth="1"/>
    <col min="261" max="261" width="16.42578125" style="21" customWidth="1"/>
    <col min="262" max="266" width="9.140625" style="21"/>
    <col min="267" max="267" width="23.5703125" style="21" customWidth="1"/>
    <col min="268" max="268" width="10.85546875" style="21" customWidth="1"/>
    <col min="269" max="512" width="9.140625" style="21"/>
    <col min="513" max="513" width="9.7109375" style="21" customWidth="1"/>
    <col min="514" max="514" width="60.28515625" style="21" customWidth="1"/>
    <col min="515" max="515" width="48" style="21" customWidth="1"/>
    <col min="516" max="516" width="12.42578125" style="21" customWidth="1"/>
    <col min="517" max="517" width="16.42578125" style="21" customWidth="1"/>
    <col min="518" max="522" width="9.140625" style="21"/>
    <col min="523" max="523" width="23.5703125" style="21" customWidth="1"/>
    <col min="524" max="524" width="10.85546875" style="21" customWidth="1"/>
    <col min="525" max="768" width="9.140625" style="21"/>
    <col min="769" max="769" width="9.7109375" style="21" customWidth="1"/>
    <col min="770" max="770" width="60.28515625" style="21" customWidth="1"/>
    <col min="771" max="771" width="48" style="21" customWidth="1"/>
    <col min="772" max="772" width="12.42578125" style="21" customWidth="1"/>
    <col min="773" max="773" width="16.42578125" style="21" customWidth="1"/>
    <col min="774" max="778" width="9.140625" style="21"/>
    <col min="779" max="779" width="23.5703125" style="21" customWidth="1"/>
    <col min="780" max="780" width="10.85546875" style="21" customWidth="1"/>
    <col min="781" max="1024" width="9.140625" style="21"/>
    <col min="1025" max="1025" width="9.7109375" style="21" customWidth="1"/>
    <col min="1026" max="1026" width="60.28515625" style="21" customWidth="1"/>
    <col min="1027" max="1027" width="48" style="21" customWidth="1"/>
    <col min="1028" max="1028" width="12.42578125" style="21" customWidth="1"/>
    <col min="1029" max="1029" width="16.42578125" style="21" customWidth="1"/>
    <col min="1030" max="1034" width="9.140625" style="21"/>
    <col min="1035" max="1035" width="23.5703125" style="21" customWidth="1"/>
    <col min="1036" max="1036" width="10.85546875" style="21" customWidth="1"/>
    <col min="1037" max="1280" width="9.140625" style="21"/>
    <col min="1281" max="1281" width="9.7109375" style="21" customWidth="1"/>
    <col min="1282" max="1282" width="60.28515625" style="21" customWidth="1"/>
    <col min="1283" max="1283" width="48" style="21" customWidth="1"/>
    <col min="1284" max="1284" width="12.42578125" style="21" customWidth="1"/>
    <col min="1285" max="1285" width="16.42578125" style="21" customWidth="1"/>
    <col min="1286" max="1290" width="9.140625" style="21"/>
    <col min="1291" max="1291" width="23.5703125" style="21" customWidth="1"/>
    <col min="1292" max="1292" width="10.85546875" style="21" customWidth="1"/>
    <col min="1293" max="1536" width="9.140625" style="21"/>
    <col min="1537" max="1537" width="9.7109375" style="21" customWidth="1"/>
    <col min="1538" max="1538" width="60.28515625" style="21" customWidth="1"/>
    <col min="1539" max="1539" width="48" style="21" customWidth="1"/>
    <col min="1540" max="1540" width="12.42578125" style="21" customWidth="1"/>
    <col min="1541" max="1541" width="16.42578125" style="21" customWidth="1"/>
    <col min="1542" max="1546" width="9.140625" style="21"/>
    <col min="1547" max="1547" width="23.5703125" style="21" customWidth="1"/>
    <col min="1548" max="1548" width="10.85546875" style="21" customWidth="1"/>
    <col min="1549" max="1792" width="9.140625" style="21"/>
    <col min="1793" max="1793" width="9.7109375" style="21" customWidth="1"/>
    <col min="1794" max="1794" width="60.28515625" style="21" customWidth="1"/>
    <col min="1795" max="1795" width="48" style="21" customWidth="1"/>
    <col min="1796" max="1796" width="12.42578125" style="21" customWidth="1"/>
    <col min="1797" max="1797" width="16.42578125" style="21" customWidth="1"/>
    <col min="1798" max="1802" width="9.140625" style="21"/>
    <col min="1803" max="1803" width="23.5703125" style="21" customWidth="1"/>
    <col min="1804" max="1804" width="10.85546875" style="21" customWidth="1"/>
    <col min="1805" max="2048" width="9.140625" style="21"/>
    <col min="2049" max="2049" width="9.7109375" style="21" customWidth="1"/>
    <col min="2050" max="2050" width="60.28515625" style="21" customWidth="1"/>
    <col min="2051" max="2051" width="48" style="21" customWidth="1"/>
    <col min="2052" max="2052" width="12.42578125" style="21" customWidth="1"/>
    <col min="2053" max="2053" width="16.42578125" style="21" customWidth="1"/>
    <col min="2054" max="2058" width="9.140625" style="21"/>
    <col min="2059" max="2059" width="23.5703125" style="21" customWidth="1"/>
    <col min="2060" max="2060" width="10.85546875" style="21" customWidth="1"/>
    <col min="2061" max="2304" width="9.140625" style="21"/>
    <col min="2305" max="2305" width="9.7109375" style="21" customWidth="1"/>
    <col min="2306" max="2306" width="60.28515625" style="21" customWidth="1"/>
    <col min="2307" max="2307" width="48" style="21" customWidth="1"/>
    <col min="2308" max="2308" width="12.42578125" style="21" customWidth="1"/>
    <col min="2309" max="2309" width="16.42578125" style="21" customWidth="1"/>
    <col min="2310" max="2314" width="9.140625" style="21"/>
    <col min="2315" max="2315" width="23.5703125" style="21" customWidth="1"/>
    <col min="2316" max="2316" width="10.85546875" style="21" customWidth="1"/>
    <col min="2317" max="2560" width="9.140625" style="21"/>
    <col min="2561" max="2561" width="9.7109375" style="21" customWidth="1"/>
    <col min="2562" max="2562" width="60.28515625" style="21" customWidth="1"/>
    <col min="2563" max="2563" width="48" style="21" customWidth="1"/>
    <col min="2564" max="2564" width="12.42578125" style="21" customWidth="1"/>
    <col min="2565" max="2565" width="16.42578125" style="21" customWidth="1"/>
    <col min="2566" max="2570" width="9.140625" style="21"/>
    <col min="2571" max="2571" width="23.5703125" style="21" customWidth="1"/>
    <col min="2572" max="2572" width="10.85546875" style="21" customWidth="1"/>
    <col min="2573" max="2816" width="9.140625" style="21"/>
    <col min="2817" max="2817" width="9.7109375" style="21" customWidth="1"/>
    <col min="2818" max="2818" width="60.28515625" style="21" customWidth="1"/>
    <col min="2819" max="2819" width="48" style="21" customWidth="1"/>
    <col min="2820" max="2820" width="12.42578125" style="21" customWidth="1"/>
    <col min="2821" max="2821" width="16.42578125" style="21" customWidth="1"/>
    <col min="2822" max="2826" width="9.140625" style="21"/>
    <col min="2827" max="2827" width="23.5703125" style="21" customWidth="1"/>
    <col min="2828" max="2828" width="10.85546875" style="21" customWidth="1"/>
    <col min="2829" max="3072" width="9.140625" style="21"/>
    <col min="3073" max="3073" width="9.7109375" style="21" customWidth="1"/>
    <col min="3074" max="3074" width="60.28515625" style="21" customWidth="1"/>
    <col min="3075" max="3075" width="48" style="21" customWidth="1"/>
    <col min="3076" max="3076" width="12.42578125" style="21" customWidth="1"/>
    <col min="3077" max="3077" width="16.42578125" style="21" customWidth="1"/>
    <col min="3078" max="3082" width="9.140625" style="21"/>
    <col min="3083" max="3083" width="23.5703125" style="21" customWidth="1"/>
    <col min="3084" max="3084" width="10.85546875" style="21" customWidth="1"/>
    <col min="3085" max="3328" width="9.140625" style="21"/>
    <col min="3329" max="3329" width="9.7109375" style="21" customWidth="1"/>
    <col min="3330" max="3330" width="60.28515625" style="21" customWidth="1"/>
    <col min="3331" max="3331" width="48" style="21" customWidth="1"/>
    <col min="3332" max="3332" width="12.42578125" style="21" customWidth="1"/>
    <col min="3333" max="3333" width="16.42578125" style="21" customWidth="1"/>
    <col min="3334" max="3338" width="9.140625" style="21"/>
    <col min="3339" max="3339" width="23.5703125" style="21" customWidth="1"/>
    <col min="3340" max="3340" width="10.85546875" style="21" customWidth="1"/>
    <col min="3341" max="3584" width="9.140625" style="21"/>
    <col min="3585" max="3585" width="9.7109375" style="21" customWidth="1"/>
    <col min="3586" max="3586" width="60.28515625" style="21" customWidth="1"/>
    <col min="3587" max="3587" width="48" style="21" customWidth="1"/>
    <col min="3588" max="3588" width="12.42578125" style="21" customWidth="1"/>
    <col min="3589" max="3589" width="16.42578125" style="21" customWidth="1"/>
    <col min="3590" max="3594" width="9.140625" style="21"/>
    <col min="3595" max="3595" width="23.5703125" style="21" customWidth="1"/>
    <col min="3596" max="3596" width="10.85546875" style="21" customWidth="1"/>
    <col min="3597" max="3840" width="9.140625" style="21"/>
    <col min="3841" max="3841" width="9.7109375" style="21" customWidth="1"/>
    <col min="3842" max="3842" width="60.28515625" style="21" customWidth="1"/>
    <col min="3843" max="3843" width="48" style="21" customWidth="1"/>
    <col min="3844" max="3844" width="12.42578125" style="21" customWidth="1"/>
    <col min="3845" max="3845" width="16.42578125" style="21" customWidth="1"/>
    <col min="3846" max="3850" width="9.140625" style="21"/>
    <col min="3851" max="3851" width="23.5703125" style="21" customWidth="1"/>
    <col min="3852" max="3852" width="10.85546875" style="21" customWidth="1"/>
    <col min="3853" max="4096" width="9.140625" style="21"/>
    <col min="4097" max="4097" width="9.7109375" style="21" customWidth="1"/>
    <col min="4098" max="4098" width="60.28515625" style="21" customWidth="1"/>
    <col min="4099" max="4099" width="48" style="21" customWidth="1"/>
    <col min="4100" max="4100" width="12.42578125" style="21" customWidth="1"/>
    <col min="4101" max="4101" width="16.42578125" style="21" customWidth="1"/>
    <col min="4102" max="4106" width="9.140625" style="21"/>
    <col min="4107" max="4107" width="23.5703125" style="21" customWidth="1"/>
    <col min="4108" max="4108" width="10.85546875" style="21" customWidth="1"/>
    <col min="4109" max="4352" width="9.140625" style="21"/>
    <col min="4353" max="4353" width="9.7109375" style="21" customWidth="1"/>
    <col min="4354" max="4354" width="60.28515625" style="21" customWidth="1"/>
    <col min="4355" max="4355" width="48" style="21" customWidth="1"/>
    <col min="4356" max="4356" width="12.42578125" style="21" customWidth="1"/>
    <col min="4357" max="4357" width="16.42578125" style="21" customWidth="1"/>
    <col min="4358" max="4362" width="9.140625" style="21"/>
    <col min="4363" max="4363" width="23.5703125" style="21" customWidth="1"/>
    <col min="4364" max="4364" width="10.85546875" style="21" customWidth="1"/>
    <col min="4365" max="4608" width="9.140625" style="21"/>
    <col min="4609" max="4609" width="9.7109375" style="21" customWidth="1"/>
    <col min="4610" max="4610" width="60.28515625" style="21" customWidth="1"/>
    <col min="4611" max="4611" width="48" style="21" customWidth="1"/>
    <col min="4612" max="4612" width="12.42578125" style="21" customWidth="1"/>
    <col min="4613" max="4613" width="16.42578125" style="21" customWidth="1"/>
    <col min="4614" max="4618" width="9.140625" style="21"/>
    <col min="4619" max="4619" width="23.5703125" style="21" customWidth="1"/>
    <col min="4620" max="4620" width="10.85546875" style="21" customWidth="1"/>
    <col min="4621" max="4864" width="9.140625" style="21"/>
    <col min="4865" max="4865" width="9.7109375" style="21" customWidth="1"/>
    <col min="4866" max="4866" width="60.28515625" style="21" customWidth="1"/>
    <col min="4867" max="4867" width="48" style="21" customWidth="1"/>
    <col min="4868" max="4868" width="12.42578125" style="21" customWidth="1"/>
    <col min="4869" max="4869" width="16.42578125" style="21" customWidth="1"/>
    <col min="4870" max="4874" width="9.140625" style="21"/>
    <col min="4875" max="4875" width="23.5703125" style="21" customWidth="1"/>
    <col min="4876" max="4876" width="10.85546875" style="21" customWidth="1"/>
    <col min="4877" max="5120" width="9.140625" style="21"/>
    <col min="5121" max="5121" width="9.7109375" style="21" customWidth="1"/>
    <col min="5122" max="5122" width="60.28515625" style="21" customWidth="1"/>
    <col min="5123" max="5123" width="48" style="21" customWidth="1"/>
    <col min="5124" max="5124" width="12.42578125" style="21" customWidth="1"/>
    <col min="5125" max="5125" width="16.42578125" style="21" customWidth="1"/>
    <col min="5126" max="5130" width="9.140625" style="21"/>
    <col min="5131" max="5131" width="23.5703125" style="21" customWidth="1"/>
    <col min="5132" max="5132" width="10.85546875" style="21" customWidth="1"/>
    <col min="5133" max="5376" width="9.140625" style="21"/>
    <col min="5377" max="5377" width="9.7109375" style="21" customWidth="1"/>
    <col min="5378" max="5378" width="60.28515625" style="21" customWidth="1"/>
    <col min="5379" max="5379" width="48" style="21" customWidth="1"/>
    <col min="5380" max="5380" width="12.42578125" style="21" customWidth="1"/>
    <col min="5381" max="5381" width="16.42578125" style="21" customWidth="1"/>
    <col min="5382" max="5386" width="9.140625" style="21"/>
    <col min="5387" max="5387" width="23.5703125" style="21" customWidth="1"/>
    <col min="5388" max="5388" width="10.85546875" style="21" customWidth="1"/>
    <col min="5389" max="5632" width="9.140625" style="21"/>
    <col min="5633" max="5633" width="9.7109375" style="21" customWidth="1"/>
    <col min="5634" max="5634" width="60.28515625" style="21" customWidth="1"/>
    <col min="5635" max="5635" width="48" style="21" customWidth="1"/>
    <col min="5636" max="5636" width="12.42578125" style="21" customWidth="1"/>
    <col min="5637" max="5637" width="16.42578125" style="21" customWidth="1"/>
    <col min="5638" max="5642" width="9.140625" style="21"/>
    <col min="5643" max="5643" width="23.5703125" style="21" customWidth="1"/>
    <col min="5644" max="5644" width="10.85546875" style="21" customWidth="1"/>
    <col min="5645" max="5888" width="9.140625" style="21"/>
    <col min="5889" max="5889" width="9.7109375" style="21" customWidth="1"/>
    <col min="5890" max="5890" width="60.28515625" style="21" customWidth="1"/>
    <col min="5891" max="5891" width="48" style="21" customWidth="1"/>
    <col min="5892" max="5892" width="12.42578125" style="21" customWidth="1"/>
    <col min="5893" max="5893" width="16.42578125" style="21" customWidth="1"/>
    <col min="5894" max="5898" width="9.140625" style="21"/>
    <col min="5899" max="5899" width="23.5703125" style="21" customWidth="1"/>
    <col min="5900" max="5900" width="10.85546875" style="21" customWidth="1"/>
    <col min="5901" max="6144" width="9.140625" style="21"/>
    <col min="6145" max="6145" width="9.7109375" style="21" customWidth="1"/>
    <col min="6146" max="6146" width="60.28515625" style="21" customWidth="1"/>
    <col min="6147" max="6147" width="48" style="21" customWidth="1"/>
    <col min="6148" max="6148" width="12.42578125" style="21" customWidth="1"/>
    <col min="6149" max="6149" width="16.42578125" style="21" customWidth="1"/>
    <col min="6150" max="6154" width="9.140625" style="21"/>
    <col min="6155" max="6155" width="23.5703125" style="21" customWidth="1"/>
    <col min="6156" max="6156" width="10.85546875" style="21" customWidth="1"/>
    <col min="6157" max="6400" width="9.140625" style="21"/>
    <col min="6401" max="6401" width="9.7109375" style="21" customWidth="1"/>
    <col min="6402" max="6402" width="60.28515625" style="21" customWidth="1"/>
    <col min="6403" max="6403" width="48" style="21" customWidth="1"/>
    <col min="6404" max="6404" width="12.42578125" style="21" customWidth="1"/>
    <col min="6405" max="6405" width="16.42578125" style="21" customWidth="1"/>
    <col min="6406" max="6410" width="9.140625" style="21"/>
    <col min="6411" max="6411" width="23.5703125" style="21" customWidth="1"/>
    <col min="6412" max="6412" width="10.85546875" style="21" customWidth="1"/>
    <col min="6413" max="6656" width="9.140625" style="21"/>
    <col min="6657" max="6657" width="9.7109375" style="21" customWidth="1"/>
    <col min="6658" max="6658" width="60.28515625" style="21" customWidth="1"/>
    <col min="6659" max="6659" width="48" style="21" customWidth="1"/>
    <col min="6660" max="6660" width="12.42578125" style="21" customWidth="1"/>
    <col min="6661" max="6661" width="16.42578125" style="21" customWidth="1"/>
    <col min="6662" max="6666" width="9.140625" style="21"/>
    <col min="6667" max="6667" width="23.5703125" style="21" customWidth="1"/>
    <col min="6668" max="6668" width="10.85546875" style="21" customWidth="1"/>
    <col min="6669" max="6912" width="9.140625" style="21"/>
    <col min="6913" max="6913" width="9.7109375" style="21" customWidth="1"/>
    <col min="6914" max="6914" width="60.28515625" style="21" customWidth="1"/>
    <col min="6915" max="6915" width="48" style="21" customWidth="1"/>
    <col min="6916" max="6916" width="12.42578125" style="21" customWidth="1"/>
    <col min="6917" max="6917" width="16.42578125" style="21" customWidth="1"/>
    <col min="6918" max="6922" width="9.140625" style="21"/>
    <col min="6923" max="6923" width="23.5703125" style="21" customWidth="1"/>
    <col min="6924" max="6924" width="10.85546875" style="21" customWidth="1"/>
    <col min="6925" max="7168" width="9.140625" style="21"/>
    <col min="7169" max="7169" width="9.7109375" style="21" customWidth="1"/>
    <col min="7170" max="7170" width="60.28515625" style="21" customWidth="1"/>
    <col min="7171" max="7171" width="48" style="21" customWidth="1"/>
    <col min="7172" max="7172" width="12.42578125" style="21" customWidth="1"/>
    <col min="7173" max="7173" width="16.42578125" style="21" customWidth="1"/>
    <col min="7174" max="7178" width="9.140625" style="21"/>
    <col min="7179" max="7179" width="23.5703125" style="21" customWidth="1"/>
    <col min="7180" max="7180" width="10.85546875" style="21" customWidth="1"/>
    <col min="7181" max="7424" width="9.140625" style="21"/>
    <col min="7425" max="7425" width="9.7109375" style="21" customWidth="1"/>
    <col min="7426" max="7426" width="60.28515625" style="21" customWidth="1"/>
    <col min="7427" max="7427" width="48" style="21" customWidth="1"/>
    <col min="7428" max="7428" width="12.42578125" style="21" customWidth="1"/>
    <col min="7429" max="7429" width="16.42578125" style="21" customWidth="1"/>
    <col min="7430" max="7434" width="9.140625" style="21"/>
    <col min="7435" max="7435" width="23.5703125" style="21" customWidth="1"/>
    <col min="7436" max="7436" width="10.85546875" style="21" customWidth="1"/>
    <col min="7437" max="7680" width="9.140625" style="21"/>
    <col min="7681" max="7681" width="9.7109375" style="21" customWidth="1"/>
    <col min="7682" max="7682" width="60.28515625" style="21" customWidth="1"/>
    <col min="7683" max="7683" width="48" style="21" customWidth="1"/>
    <col min="7684" max="7684" width="12.42578125" style="21" customWidth="1"/>
    <col min="7685" max="7685" width="16.42578125" style="21" customWidth="1"/>
    <col min="7686" max="7690" width="9.140625" style="21"/>
    <col min="7691" max="7691" width="23.5703125" style="21" customWidth="1"/>
    <col min="7692" max="7692" width="10.85546875" style="21" customWidth="1"/>
    <col min="7693" max="7936" width="9.140625" style="21"/>
    <col min="7937" max="7937" width="9.7109375" style="21" customWidth="1"/>
    <col min="7938" max="7938" width="60.28515625" style="21" customWidth="1"/>
    <col min="7939" max="7939" width="48" style="21" customWidth="1"/>
    <col min="7940" max="7940" width="12.42578125" style="21" customWidth="1"/>
    <col min="7941" max="7941" width="16.42578125" style="21" customWidth="1"/>
    <col min="7942" max="7946" width="9.140625" style="21"/>
    <col min="7947" max="7947" width="23.5703125" style="21" customWidth="1"/>
    <col min="7948" max="7948" width="10.85546875" style="21" customWidth="1"/>
    <col min="7949" max="8192" width="9.140625" style="21"/>
    <col min="8193" max="8193" width="9.7109375" style="21" customWidth="1"/>
    <col min="8194" max="8194" width="60.28515625" style="21" customWidth="1"/>
    <col min="8195" max="8195" width="48" style="21" customWidth="1"/>
    <col min="8196" max="8196" width="12.42578125" style="21" customWidth="1"/>
    <col min="8197" max="8197" width="16.42578125" style="21" customWidth="1"/>
    <col min="8198" max="8202" width="9.140625" style="21"/>
    <col min="8203" max="8203" width="23.5703125" style="21" customWidth="1"/>
    <col min="8204" max="8204" width="10.85546875" style="21" customWidth="1"/>
    <col min="8205" max="8448" width="9.140625" style="21"/>
    <col min="8449" max="8449" width="9.7109375" style="21" customWidth="1"/>
    <col min="8450" max="8450" width="60.28515625" style="21" customWidth="1"/>
    <col min="8451" max="8451" width="48" style="21" customWidth="1"/>
    <col min="8452" max="8452" width="12.42578125" style="21" customWidth="1"/>
    <col min="8453" max="8453" width="16.42578125" style="21" customWidth="1"/>
    <col min="8454" max="8458" width="9.140625" style="21"/>
    <col min="8459" max="8459" width="23.5703125" style="21" customWidth="1"/>
    <col min="8460" max="8460" width="10.85546875" style="21" customWidth="1"/>
    <col min="8461" max="8704" width="9.140625" style="21"/>
    <col min="8705" max="8705" width="9.7109375" style="21" customWidth="1"/>
    <col min="8706" max="8706" width="60.28515625" style="21" customWidth="1"/>
    <col min="8707" max="8707" width="48" style="21" customWidth="1"/>
    <col min="8708" max="8708" width="12.42578125" style="21" customWidth="1"/>
    <col min="8709" max="8709" width="16.42578125" style="21" customWidth="1"/>
    <col min="8710" max="8714" width="9.140625" style="21"/>
    <col min="8715" max="8715" width="23.5703125" style="21" customWidth="1"/>
    <col min="8716" max="8716" width="10.85546875" style="21" customWidth="1"/>
    <col min="8717" max="8960" width="9.140625" style="21"/>
    <col min="8961" max="8961" width="9.7109375" style="21" customWidth="1"/>
    <col min="8962" max="8962" width="60.28515625" style="21" customWidth="1"/>
    <col min="8963" max="8963" width="48" style="21" customWidth="1"/>
    <col min="8964" max="8964" width="12.42578125" style="21" customWidth="1"/>
    <col min="8965" max="8965" width="16.42578125" style="21" customWidth="1"/>
    <col min="8966" max="8970" width="9.140625" style="21"/>
    <col min="8971" max="8971" width="23.5703125" style="21" customWidth="1"/>
    <col min="8972" max="8972" width="10.85546875" style="21" customWidth="1"/>
    <col min="8973" max="9216" width="9.140625" style="21"/>
    <col min="9217" max="9217" width="9.7109375" style="21" customWidth="1"/>
    <col min="9218" max="9218" width="60.28515625" style="21" customWidth="1"/>
    <col min="9219" max="9219" width="48" style="21" customWidth="1"/>
    <col min="9220" max="9220" width="12.42578125" style="21" customWidth="1"/>
    <col min="9221" max="9221" width="16.42578125" style="21" customWidth="1"/>
    <col min="9222" max="9226" width="9.140625" style="21"/>
    <col min="9227" max="9227" width="23.5703125" style="21" customWidth="1"/>
    <col min="9228" max="9228" width="10.85546875" style="21" customWidth="1"/>
    <col min="9229" max="9472" width="9.140625" style="21"/>
    <col min="9473" max="9473" width="9.7109375" style="21" customWidth="1"/>
    <col min="9474" max="9474" width="60.28515625" style="21" customWidth="1"/>
    <col min="9475" max="9475" width="48" style="21" customWidth="1"/>
    <col min="9476" max="9476" width="12.42578125" style="21" customWidth="1"/>
    <col min="9477" max="9477" width="16.42578125" style="21" customWidth="1"/>
    <col min="9478" max="9482" width="9.140625" style="21"/>
    <col min="9483" max="9483" width="23.5703125" style="21" customWidth="1"/>
    <col min="9484" max="9484" width="10.85546875" style="21" customWidth="1"/>
    <col min="9485" max="9728" width="9.140625" style="21"/>
    <col min="9729" max="9729" width="9.7109375" style="21" customWidth="1"/>
    <col min="9730" max="9730" width="60.28515625" style="21" customWidth="1"/>
    <col min="9731" max="9731" width="48" style="21" customWidth="1"/>
    <col min="9732" max="9732" width="12.42578125" style="21" customWidth="1"/>
    <col min="9733" max="9733" width="16.42578125" style="21" customWidth="1"/>
    <col min="9734" max="9738" width="9.140625" style="21"/>
    <col min="9739" max="9739" width="23.5703125" style="21" customWidth="1"/>
    <col min="9740" max="9740" width="10.85546875" style="21" customWidth="1"/>
    <col min="9741" max="9984" width="9.140625" style="21"/>
    <col min="9985" max="9985" width="9.7109375" style="21" customWidth="1"/>
    <col min="9986" max="9986" width="60.28515625" style="21" customWidth="1"/>
    <col min="9987" max="9987" width="48" style="21" customWidth="1"/>
    <col min="9988" max="9988" width="12.42578125" style="21" customWidth="1"/>
    <col min="9989" max="9989" width="16.42578125" style="21" customWidth="1"/>
    <col min="9990" max="9994" width="9.140625" style="21"/>
    <col min="9995" max="9995" width="23.5703125" style="21" customWidth="1"/>
    <col min="9996" max="9996" width="10.85546875" style="21" customWidth="1"/>
    <col min="9997" max="10240" width="9.140625" style="21"/>
    <col min="10241" max="10241" width="9.7109375" style="21" customWidth="1"/>
    <col min="10242" max="10242" width="60.28515625" style="21" customWidth="1"/>
    <col min="10243" max="10243" width="48" style="21" customWidth="1"/>
    <col min="10244" max="10244" width="12.42578125" style="21" customWidth="1"/>
    <col min="10245" max="10245" width="16.42578125" style="21" customWidth="1"/>
    <col min="10246" max="10250" width="9.140625" style="21"/>
    <col min="10251" max="10251" width="23.5703125" style="21" customWidth="1"/>
    <col min="10252" max="10252" width="10.85546875" style="21" customWidth="1"/>
    <col min="10253" max="10496" width="9.140625" style="21"/>
    <col min="10497" max="10497" width="9.7109375" style="21" customWidth="1"/>
    <col min="10498" max="10498" width="60.28515625" style="21" customWidth="1"/>
    <col min="10499" max="10499" width="48" style="21" customWidth="1"/>
    <col min="10500" max="10500" width="12.42578125" style="21" customWidth="1"/>
    <col min="10501" max="10501" width="16.42578125" style="21" customWidth="1"/>
    <col min="10502" max="10506" width="9.140625" style="21"/>
    <col min="10507" max="10507" width="23.5703125" style="21" customWidth="1"/>
    <col min="10508" max="10508" width="10.85546875" style="21" customWidth="1"/>
    <col min="10509" max="10752" width="9.140625" style="21"/>
    <col min="10753" max="10753" width="9.7109375" style="21" customWidth="1"/>
    <col min="10754" max="10754" width="60.28515625" style="21" customWidth="1"/>
    <col min="10755" max="10755" width="48" style="21" customWidth="1"/>
    <col min="10756" max="10756" width="12.42578125" style="21" customWidth="1"/>
    <col min="10757" max="10757" width="16.42578125" style="21" customWidth="1"/>
    <col min="10758" max="10762" width="9.140625" style="21"/>
    <col min="10763" max="10763" width="23.5703125" style="21" customWidth="1"/>
    <col min="10764" max="10764" width="10.85546875" style="21" customWidth="1"/>
    <col min="10765" max="11008" width="9.140625" style="21"/>
    <col min="11009" max="11009" width="9.7109375" style="21" customWidth="1"/>
    <col min="11010" max="11010" width="60.28515625" style="21" customWidth="1"/>
    <col min="11011" max="11011" width="48" style="21" customWidth="1"/>
    <col min="11012" max="11012" width="12.42578125" style="21" customWidth="1"/>
    <col min="11013" max="11013" width="16.42578125" style="21" customWidth="1"/>
    <col min="11014" max="11018" width="9.140625" style="21"/>
    <col min="11019" max="11019" width="23.5703125" style="21" customWidth="1"/>
    <col min="11020" max="11020" width="10.85546875" style="21" customWidth="1"/>
    <col min="11021" max="11264" width="9.140625" style="21"/>
    <col min="11265" max="11265" width="9.7109375" style="21" customWidth="1"/>
    <col min="11266" max="11266" width="60.28515625" style="21" customWidth="1"/>
    <col min="11267" max="11267" width="48" style="21" customWidth="1"/>
    <col min="11268" max="11268" width="12.42578125" style="21" customWidth="1"/>
    <col min="11269" max="11269" width="16.42578125" style="21" customWidth="1"/>
    <col min="11270" max="11274" width="9.140625" style="21"/>
    <col min="11275" max="11275" width="23.5703125" style="21" customWidth="1"/>
    <col min="11276" max="11276" width="10.85546875" style="21" customWidth="1"/>
    <col min="11277" max="11520" width="9.140625" style="21"/>
    <col min="11521" max="11521" width="9.7109375" style="21" customWidth="1"/>
    <col min="11522" max="11522" width="60.28515625" style="21" customWidth="1"/>
    <col min="11523" max="11523" width="48" style="21" customWidth="1"/>
    <col min="11524" max="11524" width="12.42578125" style="21" customWidth="1"/>
    <col min="11525" max="11525" width="16.42578125" style="21" customWidth="1"/>
    <col min="11526" max="11530" width="9.140625" style="21"/>
    <col min="11531" max="11531" width="23.5703125" style="21" customWidth="1"/>
    <col min="11532" max="11532" width="10.85546875" style="21" customWidth="1"/>
    <col min="11533" max="11776" width="9.140625" style="21"/>
    <col min="11777" max="11777" width="9.7109375" style="21" customWidth="1"/>
    <col min="11778" max="11778" width="60.28515625" style="21" customWidth="1"/>
    <col min="11779" max="11779" width="48" style="21" customWidth="1"/>
    <col min="11780" max="11780" width="12.42578125" style="21" customWidth="1"/>
    <col min="11781" max="11781" width="16.42578125" style="21" customWidth="1"/>
    <col min="11782" max="11786" width="9.140625" style="21"/>
    <col min="11787" max="11787" width="23.5703125" style="21" customWidth="1"/>
    <col min="11788" max="11788" width="10.85546875" style="21" customWidth="1"/>
    <col min="11789" max="12032" width="9.140625" style="21"/>
    <col min="12033" max="12033" width="9.7109375" style="21" customWidth="1"/>
    <col min="12034" max="12034" width="60.28515625" style="21" customWidth="1"/>
    <col min="12035" max="12035" width="48" style="21" customWidth="1"/>
    <col min="12036" max="12036" width="12.42578125" style="21" customWidth="1"/>
    <col min="12037" max="12037" width="16.42578125" style="21" customWidth="1"/>
    <col min="12038" max="12042" width="9.140625" style="21"/>
    <col min="12043" max="12043" width="23.5703125" style="21" customWidth="1"/>
    <col min="12044" max="12044" width="10.85546875" style="21" customWidth="1"/>
    <col min="12045" max="12288" width="9.140625" style="21"/>
    <col min="12289" max="12289" width="9.7109375" style="21" customWidth="1"/>
    <col min="12290" max="12290" width="60.28515625" style="21" customWidth="1"/>
    <col min="12291" max="12291" width="48" style="21" customWidth="1"/>
    <col min="12292" max="12292" width="12.42578125" style="21" customWidth="1"/>
    <col min="12293" max="12293" width="16.42578125" style="21" customWidth="1"/>
    <col min="12294" max="12298" width="9.140625" style="21"/>
    <col min="12299" max="12299" width="23.5703125" style="21" customWidth="1"/>
    <col min="12300" max="12300" width="10.85546875" style="21" customWidth="1"/>
    <col min="12301" max="12544" width="9.140625" style="21"/>
    <col min="12545" max="12545" width="9.7109375" style="21" customWidth="1"/>
    <col min="12546" max="12546" width="60.28515625" style="21" customWidth="1"/>
    <col min="12547" max="12547" width="48" style="21" customWidth="1"/>
    <col min="12548" max="12548" width="12.42578125" style="21" customWidth="1"/>
    <col min="12549" max="12549" width="16.42578125" style="21" customWidth="1"/>
    <col min="12550" max="12554" width="9.140625" style="21"/>
    <col min="12555" max="12555" width="23.5703125" style="21" customWidth="1"/>
    <col min="12556" max="12556" width="10.85546875" style="21" customWidth="1"/>
    <col min="12557" max="12800" width="9.140625" style="21"/>
    <col min="12801" max="12801" width="9.7109375" style="21" customWidth="1"/>
    <col min="12802" max="12802" width="60.28515625" style="21" customWidth="1"/>
    <col min="12803" max="12803" width="48" style="21" customWidth="1"/>
    <col min="12804" max="12804" width="12.42578125" style="21" customWidth="1"/>
    <col min="12805" max="12805" width="16.42578125" style="21" customWidth="1"/>
    <col min="12806" max="12810" width="9.140625" style="21"/>
    <col min="12811" max="12811" width="23.5703125" style="21" customWidth="1"/>
    <col min="12812" max="12812" width="10.85546875" style="21" customWidth="1"/>
    <col min="12813" max="13056" width="9.140625" style="21"/>
    <col min="13057" max="13057" width="9.7109375" style="21" customWidth="1"/>
    <col min="13058" max="13058" width="60.28515625" style="21" customWidth="1"/>
    <col min="13059" max="13059" width="48" style="21" customWidth="1"/>
    <col min="13060" max="13060" width="12.42578125" style="21" customWidth="1"/>
    <col min="13061" max="13061" width="16.42578125" style="21" customWidth="1"/>
    <col min="13062" max="13066" width="9.140625" style="21"/>
    <col min="13067" max="13067" width="23.5703125" style="21" customWidth="1"/>
    <col min="13068" max="13068" width="10.85546875" style="21" customWidth="1"/>
    <col min="13069" max="13312" width="9.140625" style="21"/>
    <col min="13313" max="13313" width="9.7109375" style="21" customWidth="1"/>
    <col min="13314" max="13314" width="60.28515625" style="21" customWidth="1"/>
    <col min="13315" max="13315" width="48" style="21" customWidth="1"/>
    <col min="13316" max="13316" width="12.42578125" style="21" customWidth="1"/>
    <col min="13317" max="13317" width="16.42578125" style="21" customWidth="1"/>
    <col min="13318" max="13322" width="9.140625" style="21"/>
    <col min="13323" max="13323" width="23.5703125" style="21" customWidth="1"/>
    <col min="13324" max="13324" width="10.85546875" style="21" customWidth="1"/>
    <col min="13325" max="13568" width="9.140625" style="21"/>
    <col min="13569" max="13569" width="9.7109375" style="21" customWidth="1"/>
    <col min="13570" max="13570" width="60.28515625" style="21" customWidth="1"/>
    <col min="13571" max="13571" width="48" style="21" customWidth="1"/>
    <col min="13572" max="13572" width="12.42578125" style="21" customWidth="1"/>
    <col min="13573" max="13573" width="16.42578125" style="21" customWidth="1"/>
    <col min="13574" max="13578" width="9.140625" style="21"/>
    <col min="13579" max="13579" width="23.5703125" style="21" customWidth="1"/>
    <col min="13580" max="13580" width="10.85546875" style="21" customWidth="1"/>
    <col min="13581" max="13824" width="9.140625" style="21"/>
    <col min="13825" max="13825" width="9.7109375" style="21" customWidth="1"/>
    <col min="13826" max="13826" width="60.28515625" style="21" customWidth="1"/>
    <col min="13827" max="13827" width="48" style="21" customWidth="1"/>
    <col min="13828" max="13828" width="12.42578125" style="21" customWidth="1"/>
    <col min="13829" max="13829" width="16.42578125" style="21" customWidth="1"/>
    <col min="13830" max="13834" width="9.140625" style="21"/>
    <col min="13835" max="13835" width="23.5703125" style="21" customWidth="1"/>
    <col min="13836" max="13836" width="10.85546875" style="21" customWidth="1"/>
    <col min="13837" max="14080" width="9.140625" style="21"/>
    <col min="14081" max="14081" width="9.7109375" style="21" customWidth="1"/>
    <col min="14082" max="14082" width="60.28515625" style="21" customWidth="1"/>
    <col min="14083" max="14083" width="48" style="21" customWidth="1"/>
    <col min="14084" max="14084" width="12.42578125" style="21" customWidth="1"/>
    <col min="14085" max="14085" width="16.42578125" style="21" customWidth="1"/>
    <col min="14086" max="14090" width="9.140625" style="21"/>
    <col min="14091" max="14091" width="23.5703125" style="21" customWidth="1"/>
    <col min="14092" max="14092" width="10.85546875" style="21" customWidth="1"/>
    <col min="14093" max="14336" width="9.140625" style="21"/>
    <col min="14337" max="14337" width="9.7109375" style="21" customWidth="1"/>
    <col min="14338" max="14338" width="60.28515625" style="21" customWidth="1"/>
    <col min="14339" max="14339" width="48" style="21" customWidth="1"/>
    <col min="14340" max="14340" width="12.42578125" style="21" customWidth="1"/>
    <col min="14341" max="14341" width="16.42578125" style="21" customWidth="1"/>
    <col min="14342" max="14346" width="9.140625" style="21"/>
    <col min="14347" max="14347" width="23.5703125" style="21" customWidth="1"/>
    <col min="14348" max="14348" width="10.85546875" style="21" customWidth="1"/>
    <col min="14349" max="14592" width="9.140625" style="21"/>
    <col min="14593" max="14593" width="9.7109375" style="21" customWidth="1"/>
    <col min="14594" max="14594" width="60.28515625" style="21" customWidth="1"/>
    <col min="14595" max="14595" width="48" style="21" customWidth="1"/>
    <col min="14596" max="14596" width="12.42578125" style="21" customWidth="1"/>
    <col min="14597" max="14597" width="16.42578125" style="21" customWidth="1"/>
    <col min="14598" max="14602" width="9.140625" style="21"/>
    <col min="14603" max="14603" width="23.5703125" style="21" customWidth="1"/>
    <col min="14604" max="14604" width="10.85546875" style="21" customWidth="1"/>
    <col min="14605" max="14848" width="9.140625" style="21"/>
    <col min="14849" max="14849" width="9.7109375" style="21" customWidth="1"/>
    <col min="14850" max="14850" width="60.28515625" style="21" customWidth="1"/>
    <col min="14851" max="14851" width="48" style="21" customWidth="1"/>
    <col min="14852" max="14852" width="12.42578125" style="21" customWidth="1"/>
    <col min="14853" max="14853" width="16.42578125" style="21" customWidth="1"/>
    <col min="14854" max="14858" width="9.140625" style="21"/>
    <col min="14859" max="14859" width="23.5703125" style="21" customWidth="1"/>
    <col min="14860" max="14860" width="10.85546875" style="21" customWidth="1"/>
    <col min="14861" max="15104" width="9.140625" style="21"/>
    <col min="15105" max="15105" width="9.7109375" style="21" customWidth="1"/>
    <col min="15106" max="15106" width="60.28515625" style="21" customWidth="1"/>
    <col min="15107" max="15107" width="48" style="21" customWidth="1"/>
    <col min="15108" max="15108" width="12.42578125" style="21" customWidth="1"/>
    <col min="15109" max="15109" width="16.42578125" style="21" customWidth="1"/>
    <col min="15110" max="15114" width="9.140625" style="21"/>
    <col min="15115" max="15115" width="23.5703125" style="21" customWidth="1"/>
    <col min="15116" max="15116" width="10.85546875" style="21" customWidth="1"/>
    <col min="15117" max="15360" width="9.140625" style="21"/>
    <col min="15361" max="15361" width="9.7109375" style="21" customWidth="1"/>
    <col min="15362" max="15362" width="60.28515625" style="21" customWidth="1"/>
    <col min="15363" max="15363" width="48" style="21" customWidth="1"/>
    <col min="15364" max="15364" width="12.42578125" style="21" customWidth="1"/>
    <col min="15365" max="15365" width="16.42578125" style="21" customWidth="1"/>
    <col min="15366" max="15370" width="9.140625" style="21"/>
    <col min="15371" max="15371" width="23.5703125" style="21" customWidth="1"/>
    <col min="15372" max="15372" width="10.85546875" style="21" customWidth="1"/>
    <col min="15373" max="15616" width="9.140625" style="21"/>
    <col min="15617" max="15617" width="9.7109375" style="21" customWidth="1"/>
    <col min="15618" max="15618" width="60.28515625" style="21" customWidth="1"/>
    <col min="15619" max="15619" width="48" style="21" customWidth="1"/>
    <col min="15620" max="15620" width="12.42578125" style="21" customWidth="1"/>
    <col min="15621" max="15621" width="16.42578125" style="21" customWidth="1"/>
    <col min="15622" max="15626" width="9.140625" style="21"/>
    <col min="15627" max="15627" width="23.5703125" style="21" customWidth="1"/>
    <col min="15628" max="15628" width="10.85546875" style="21" customWidth="1"/>
    <col min="15629" max="15872" width="9.140625" style="21"/>
    <col min="15873" max="15873" width="9.7109375" style="21" customWidth="1"/>
    <col min="15874" max="15874" width="60.28515625" style="21" customWidth="1"/>
    <col min="15875" max="15875" width="48" style="21" customWidth="1"/>
    <col min="15876" max="15876" width="12.42578125" style="21" customWidth="1"/>
    <col min="15877" max="15877" width="16.42578125" style="21" customWidth="1"/>
    <col min="15878" max="15882" width="9.140625" style="21"/>
    <col min="15883" max="15883" width="23.5703125" style="21" customWidth="1"/>
    <col min="15884" max="15884" width="10.85546875" style="21" customWidth="1"/>
    <col min="15885" max="16128" width="9.140625" style="21"/>
    <col min="16129" max="16129" width="9.7109375" style="21" customWidth="1"/>
    <col min="16130" max="16130" width="60.28515625" style="21" customWidth="1"/>
    <col min="16131" max="16131" width="48" style="21" customWidth="1"/>
    <col min="16132" max="16132" width="12.42578125" style="21" customWidth="1"/>
    <col min="16133" max="16133" width="16.42578125" style="21" customWidth="1"/>
    <col min="16134" max="16138" width="9.140625" style="21"/>
    <col min="16139" max="16139" width="23.5703125" style="21" customWidth="1"/>
    <col min="16140" max="16140" width="10.85546875" style="21" customWidth="1"/>
    <col min="16141" max="16384" width="9.140625" style="21"/>
  </cols>
  <sheetData>
    <row r="1" spans="1:11" ht="99" customHeight="1" thickBot="1">
      <c r="A1" s="244" t="s">
        <v>115</v>
      </c>
      <c r="B1" s="245"/>
      <c r="C1" s="245"/>
      <c r="D1" s="245"/>
      <c r="E1" s="246"/>
    </row>
    <row r="2" spans="1:11" ht="21" customHeight="1" thickBot="1">
      <c r="A2" s="247" t="s">
        <v>199</v>
      </c>
      <c r="B2" s="248"/>
      <c r="C2" s="248"/>
      <c r="D2" s="248"/>
      <c r="E2" s="249"/>
    </row>
    <row r="3" spans="1:11" ht="12" customHeight="1">
      <c r="A3" s="93"/>
      <c r="B3" s="94"/>
      <c r="C3" s="94"/>
      <c r="D3" s="94"/>
      <c r="E3" s="95"/>
    </row>
    <row r="4" spans="1:11" ht="20.25" customHeight="1">
      <c r="A4" s="96" t="s">
        <v>200</v>
      </c>
      <c r="B4" s="97"/>
      <c r="C4" s="98"/>
      <c r="D4" s="98"/>
      <c r="E4" s="99"/>
    </row>
    <row r="5" spans="1:11" ht="12.75" customHeight="1">
      <c r="A5" s="96" t="s">
        <v>201</v>
      </c>
      <c r="B5" s="97"/>
      <c r="C5" s="98"/>
      <c r="D5" s="98"/>
      <c r="E5" s="100"/>
      <c r="H5" s="98"/>
      <c r="I5" s="98"/>
      <c r="J5" s="98"/>
      <c r="K5" s="98"/>
    </row>
    <row r="6" spans="1:11" ht="38.25" customHeight="1">
      <c r="A6" s="250" t="s">
        <v>241</v>
      </c>
      <c r="B6" s="251"/>
      <c r="C6" s="251"/>
      <c r="D6" s="251"/>
      <c r="E6" s="252"/>
      <c r="H6" s="137"/>
      <c r="I6" s="98"/>
      <c r="J6" s="98"/>
      <c r="K6" s="137"/>
    </row>
    <row r="7" spans="1:11" ht="18.75" customHeight="1">
      <c r="A7" s="253" t="s">
        <v>33</v>
      </c>
      <c r="B7" s="254"/>
      <c r="C7" s="98"/>
      <c r="D7" s="98"/>
      <c r="E7" s="100"/>
      <c r="H7" s="137"/>
      <c r="I7" s="98"/>
      <c r="J7" s="98"/>
      <c r="K7" s="137"/>
    </row>
    <row r="8" spans="1:11" ht="8.25" customHeight="1" thickBot="1">
      <c r="A8" s="101"/>
      <c r="B8" s="102"/>
      <c r="C8" s="102"/>
      <c r="D8" s="102"/>
      <c r="E8" s="103"/>
      <c r="H8" s="98"/>
      <c r="I8" s="98"/>
      <c r="J8" s="98"/>
      <c r="K8" s="98"/>
    </row>
    <row r="9" spans="1:11" ht="24.75" customHeight="1" thickBot="1">
      <c r="A9" s="104" t="s">
        <v>0</v>
      </c>
      <c r="B9" s="27" t="s">
        <v>1</v>
      </c>
      <c r="C9" s="105" t="s">
        <v>202</v>
      </c>
      <c r="D9" s="105" t="s">
        <v>3</v>
      </c>
      <c r="E9" s="106" t="s">
        <v>2</v>
      </c>
      <c r="H9" s="98"/>
      <c r="I9" s="98"/>
      <c r="J9" s="98"/>
      <c r="K9" s="98"/>
    </row>
    <row r="10" spans="1:11">
      <c r="A10" s="107" t="s">
        <v>46</v>
      </c>
      <c r="B10" s="108" t="s">
        <v>15</v>
      </c>
      <c r="C10" s="108"/>
      <c r="D10" s="109"/>
      <c r="E10" s="110"/>
      <c r="H10" s="98"/>
      <c r="I10" s="98"/>
      <c r="J10" s="98"/>
      <c r="K10" s="98"/>
    </row>
    <row r="11" spans="1:11" ht="102">
      <c r="A11" s="111" t="s">
        <v>203</v>
      </c>
      <c r="B11" s="112" t="s">
        <v>34</v>
      </c>
      <c r="C11" s="113" t="s">
        <v>204</v>
      </c>
      <c r="D11" s="114" t="s">
        <v>35</v>
      </c>
      <c r="E11" s="115">
        <v>1</v>
      </c>
      <c r="H11" s="98"/>
    </row>
    <row r="12" spans="1:11" ht="64.5" customHeight="1">
      <c r="A12" s="111" t="s">
        <v>205</v>
      </c>
      <c r="B12" s="112" t="s">
        <v>37</v>
      </c>
      <c r="C12" s="116" t="s">
        <v>329</v>
      </c>
      <c r="D12" s="114" t="s">
        <v>38</v>
      </c>
      <c r="E12" s="115">
        <f>983.484+1139.404+817.705+1035.506+469.51+435.27</f>
        <v>4880.8790000000008</v>
      </c>
      <c r="H12" s="138"/>
    </row>
    <row r="13" spans="1:11" ht="42.75" customHeight="1">
      <c r="A13" s="117" t="s">
        <v>206</v>
      </c>
      <c r="B13" s="118" t="s">
        <v>207</v>
      </c>
      <c r="C13" s="119" t="s">
        <v>208</v>
      </c>
      <c r="D13" s="114" t="s">
        <v>209</v>
      </c>
      <c r="E13" s="115">
        <v>0.5</v>
      </c>
      <c r="F13" s="21">
        <f>550000*(0.5%)</f>
        <v>2750</v>
      </c>
      <c r="H13" s="139"/>
    </row>
    <row r="14" spans="1:11" ht="25.5">
      <c r="A14" s="117" t="s">
        <v>210</v>
      </c>
      <c r="B14" s="118" t="s">
        <v>211</v>
      </c>
      <c r="C14" s="113" t="s">
        <v>212</v>
      </c>
      <c r="D14" s="114" t="s">
        <v>35</v>
      </c>
      <c r="E14" s="115">
        <v>1</v>
      </c>
    </row>
    <row r="15" spans="1:11" ht="30" customHeight="1">
      <c r="A15" s="117" t="s">
        <v>47</v>
      </c>
      <c r="B15" s="255" t="s">
        <v>330</v>
      </c>
      <c r="C15" s="256"/>
      <c r="D15" s="256"/>
      <c r="E15" s="257"/>
    </row>
    <row r="16" spans="1:11">
      <c r="A16" s="120" t="s">
        <v>213</v>
      </c>
      <c r="B16" s="121" t="s">
        <v>18</v>
      </c>
      <c r="C16" s="122"/>
      <c r="D16" s="114"/>
      <c r="E16" s="115"/>
    </row>
    <row r="17" spans="1:15" ht="25.5">
      <c r="A17" s="120" t="s">
        <v>48</v>
      </c>
      <c r="B17" s="112" t="s">
        <v>69</v>
      </c>
      <c r="C17" s="113" t="s">
        <v>214</v>
      </c>
      <c r="D17" s="123" t="s">
        <v>70</v>
      </c>
      <c r="E17" s="115">
        <f>L23*0.15</f>
        <v>148.12350000000001</v>
      </c>
    </row>
    <row r="18" spans="1:15" ht="38.25">
      <c r="A18" s="120" t="s">
        <v>50</v>
      </c>
      <c r="B18" s="112" t="s">
        <v>71</v>
      </c>
      <c r="C18" s="124" t="s">
        <v>256</v>
      </c>
      <c r="D18" s="123" t="s">
        <v>72</v>
      </c>
      <c r="E18" s="115">
        <f>E17*F18</f>
        <v>1184.9880000000001</v>
      </c>
      <c r="F18" s="21">
        <v>8</v>
      </c>
    </row>
    <row r="19" spans="1:15" ht="24" customHeight="1">
      <c r="A19" s="120" t="s">
        <v>52</v>
      </c>
      <c r="B19" s="118" t="s">
        <v>21</v>
      </c>
      <c r="C19" s="113" t="s">
        <v>215</v>
      </c>
      <c r="D19" s="114" t="s">
        <v>38</v>
      </c>
      <c r="E19" s="115">
        <f>L23</f>
        <v>987.49</v>
      </c>
      <c r="H19" s="140"/>
      <c r="I19" s="141"/>
      <c r="J19" s="141"/>
    </row>
    <row r="20" spans="1:15" ht="39.75" customHeight="1">
      <c r="A20" s="120" t="s">
        <v>53</v>
      </c>
      <c r="B20" s="147" t="s">
        <v>73</v>
      </c>
      <c r="C20" s="113" t="s">
        <v>255</v>
      </c>
      <c r="D20" s="123" t="s">
        <v>70</v>
      </c>
      <c r="E20" s="115">
        <f>F20</f>
        <v>148.12350000000001</v>
      </c>
      <c r="F20" s="21">
        <f>E19*0.15</f>
        <v>148.12350000000001</v>
      </c>
      <c r="H20" s="140"/>
      <c r="I20" s="142"/>
      <c r="J20" s="141"/>
    </row>
    <row r="21" spans="1:15" ht="25.5">
      <c r="A21" s="120" t="s">
        <v>55</v>
      </c>
      <c r="B21" s="112" t="s">
        <v>74</v>
      </c>
      <c r="C21" s="113" t="s">
        <v>216</v>
      </c>
      <c r="D21" s="123" t="s">
        <v>72</v>
      </c>
      <c r="E21" s="115">
        <f>F21</f>
        <v>1747.8573000000001</v>
      </c>
      <c r="F21" s="21">
        <f>E20*11.8</f>
        <v>1747.8573000000001</v>
      </c>
      <c r="J21" s="137" t="s">
        <v>237</v>
      </c>
      <c r="K21" s="98"/>
      <c r="L21" s="137">
        <f>441.166+469.38</f>
        <v>910.54600000000005</v>
      </c>
    </row>
    <row r="22" spans="1:15" ht="63.75">
      <c r="A22" s="120" t="s">
        <v>57</v>
      </c>
      <c r="B22" s="112" t="s">
        <v>75</v>
      </c>
      <c r="C22" s="113" t="s">
        <v>217</v>
      </c>
      <c r="D22" s="125" t="s">
        <v>70</v>
      </c>
      <c r="E22" s="126">
        <f>E17</f>
        <v>148.12350000000001</v>
      </c>
      <c r="J22" s="137" t="s">
        <v>238</v>
      </c>
      <c r="K22" s="143"/>
      <c r="L22" s="98">
        <f>62.86*2+65.38*2</f>
        <v>256.48</v>
      </c>
      <c r="M22" s="22" t="s">
        <v>239</v>
      </c>
      <c r="O22" s="21">
        <f>62.86+65.38</f>
        <v>128.24</v>
      </c>
    </row>
    <row r="23" spans="1:15" ht="51">
      <c r="A23" s="120" t="s">
        <v>58</v>
      </c>
      <c r="B23" s="127" t="s">
        <v>218</v>
      </c>
      <c r="C23" s="113" t="s">
        <v>219</v>
      </c>
      <c r="D23" s="114" t="s">
        <v>38</v>
      </c>
      <c r="E23" s="115">
        <f>L21</f>
        <v>910.54600000000005</v>
      </c>
      <c r="F23" s="21">
        <v>160.131</v>
      </c>
      <c r="G23" s="144">
        <f>E19</f>
        <v>987.49</v>
      </c>
      <c r="J23" s="145" t="s">
        <v>240</v>
      </c>
      <c r="K23" s="146"/>
      <c r="L23" s="98">
        <f>L22*0.3+L21</f>
        <v>987.49</v>
      </c>
    </row>
    <row r="24" spans="1:15" ht="63.75">
      <c r="A24" s="120" t="s">
        <v>59</v>
      </c>
      <c r="B24" s="112" t="s">
        <v>77</v>
      </c>
      <c r="C24" s="113" t="s">
        <v>220</v>
      </c>
      <c r="D24" s="128" t="s">
        <v>38</v>
      </c>
      <c r="E24" s="129">
        <f>E23</f>
        <v>910.54600000000005</v>
      </c>
    </row>
    <row r="25" spans="1:15" ht="42" customHeight="1">
      <c r="A25" s="120" t="s">
        <v>60</v>
      </c>
      <c r="B25" s="118" t="s">
        <v>221</v>
      </c>
      <c r="C25" s="113" t="s">
        <v>222</v>
      </c>
      <c r="D25" s="114" t="s">
        <v>79</v>
      </c>
      <c r="E25" s="130">
        <f>E24*0.03*0.14*434</f>
        <v>1659.7432487999999</v>
      </c>
    </row>
    <row r="26" spans="1:15" ht="49.5" customHeight="1">
      <c r="A26" s="120" t="s">
        <v>61</v>
      </c>
      <c r="B26" s="118" t="s">
        <v>223</v>
      </c>
      <c r="C26" s="124" t="s">
        <v>224</v>
      </c>
      <c r="D26" s="114" t="s">
        <v>79</v>
      </c>
      <c r="E26" s="115">
        <f>E24*520*(0.0012+0.0004)</f>
        <v>757.57427199999995</v>
      </c>
    </row>
    <row r="27" spans="1:15" ht="36">
      <c r="A27" s="120" t="s">
        <v>62</v>
      </c>
      <c r="B27" s="118" t="s">
        <v>225</v>
      </c>
      <c r="C27" s="113" t="s">
        <v>226</v>
      </c>
      <c r="D27" s="114" t="s">
        <v>72</v>
      </c>
      <c r="E27" s="115">
        <f>E24*0.03*1.26*2.8</f>
        <v>96.37218863999999</v>
      </c>
    </row>
    <row r="28" spans="1:15" ht="40.5" customHeight="1">
      <c r="A28" s="120" t="s">
        <v>63</v>
      </c>
      <c r="B28" s="112" t="s">
        <v>227</v>
      </c>
      <c r="C28" s="113" t="s">
        <v>228</v>
      </c>
      <c r="D28" s="114" t="s">
        <v>72</v>
      </c>
      <c r="E28" s="115">
        <f>E24*0.03*0.18*85</f>
        <v>417.94061399999998</v>
      </c>
    </row>
    <row r="29" spans="1:15" ht="25.5">
      <c r="A29" s="120" t="s">
        <v>65</v>
      </c>
      <c r="B29" s="112" t="s">
        <v>229</v>
      </c>
      <c r="C29" s="113" t="s">
        <v>230</v>
      </c>
      <c r="D29" s="114" t="s">
        <v>72</v>
      </c>
      <c r="E29" s="115">
        <f>E24*0.03*86</f>
        <v>2349.2086799999997</v>
      </c>
    </row>
    <row r="30" spans="1:15" ht="25.5">
      <c r="A30" s="120" t="s">
        <v>67</v>
      </c>
      <c r="B30" s="118" t="s">
        <v>84</v>
      </c>
      <c r="C30" s="113" t="s">
        <v>253</v>
      </c>
      <c r="D30" s="114" t="s">
        <v>70</v>
      </c>
      <c r="E30" s="115">
        <f>E24*0.03</f>
        <v>27.316379999999999</v>
      </c>
      <c r="F30" s="21">
        <f>E24*0.03</f>
        <v>27.316379999999999</v>
      </c>
    </row>
    <row r="31" spans="1:15">
      <c r="A31" s="120" t="s">
        <v>85</v>
      </c>
      <c r="B31" s="121" t="s">
        <v>231</v>
      </c>
      <c r="C31" s="122"/>
      <c r="D31" s="114"/>
      <c r="E31" s="115"/>
    </row>
    <row r="32" spans="1:15" ht="38.25">
      <c r="A32" s="131" t="s">
        <v>87</v>
      </c>
      <c r="B32" s="118" t="s">
        <v>232</v>
      </c>
      <c r="C32" s="123" t="s">
        <v>233</v>
      </c>
      <c r="D32" s="114" t="s">
        <v>90</v>
      </c>
      <c r="E32" s="115">
        <f>L22</f>
        <v>256.48</v>
      </c>
    </row>
    <row r="33" spans="1:15" ht="30" customHeight="1">
      <c r="A33" s="117" t="s">
        <v>116</v>
      </c>
      <c r="B33" s="255" t="s">
        <v>194</v>
      </c>
      <c r="C33" s="256"/>
      <c r="D33" s="256"/>
      <c r="E33" s="257"/>
    </row>
    <row r="34" spans="1:15">
      <c r="A34" s="120" t="s">
        <v>333</v>
      </c>
      <c r="B34" s="121" t="s">
        <v>18</v>
      </c>
      <c r="C34" s="122"/>
      <c r="D34" s="155"/>
      <c r="E34" s="115"/>
    </row>
    <row r="35" spans="1:15" ht="25.5">
      <c r="A35" s="120" t="s">
        <v>117</v>
      </c>
      <c r="B35" s="112" t="s">
        <v>69</v>
      </c>
      <c r="C35" s="113" t="s">
        <v>257</v>
      </c>
      <c r="D35" s="123" t="s">
        <v>70</v>
      </c>
      <c r="E35" s="115">
        <f>L41*0.15</f>
        <v>171.76830000000001</v>
      </c>
    </row>
    <row r="36" spans="1:15" ht="38.25">
      <c r="A36" s="120" t="s">
        <v>118</v>
      </c>
      <c r="B36" s="112" t="s">
        <v>71</v>
      </c>
      <c r="C36" s="124" t="s">
        <v>258</v>
      </c>
      <c r="D36" s="123" t="s">
        <v>72</v>
      </c>
      <c r="E36" s="115">
        <f>E35*F36</f>
        <v>1374.1464000000001</v>
      </c>
      <c r="F36" s="21">
        <v>8</v>
      </c>
    </row>
    <row r="37" spans="1:15" ht="24" customHeight="1">
      <c r="A37" s="120" t="s">
        <v>119</v>
      </c>
      <c r="B37" s="118" t="s">
        <v>21</v>
      </c>
      <c r="C37" s="113" t="s">
        <v>215</v>
      </c>
      <c r="D37" s="155" t="s">
        <v>38</v>
      </c>
      <c r="E37" s="115">
        <f>L41</f>
        <v>1145.1220000000001</v>
      </c>
      <c r="H37" s="140"/>
      <c r="I37" s="141"/>
      <c r="J37" s="141"/>
    </row>
    <row r="38" spans="1:15" ht="39.75" customHeight="1">
      <c r="A38" s="120" t="s">
        <v>120</v>
      </c>
      <c r="B38" s="147" t="s">
        <v>73</v>
      </c>
      <c r="C38" s="113" t="s">
        <v>259</v>
      </c>
      <c r="D38" s="123" t="s">
        <v>70</v>
      </c>
      <c r="E38" s="115">
        <f>F38</f>
        <v>171.76830000000001</v>
      </c>
      <c r="F38" s="21">
        <f>E37*0.15</f>
        <v>171.76830000000001</v>
      </c>
      <c r="H38" s="140"/>
      <c r="I38" s="142"/>
      <c r="J38" s="141"/>
    </row>
    <row r="39" spans="1:15" ht="25.5">
      <c r="A39" s="120" t="s">
        <v>121</v>
      </c>
      <c r="B39" s="112" t="s">
        <v>74</v>
      </c>
      <c r="C39" s="113" t="s">
        <v>260</v>
      </c>
      <c r="D39" s="123" t="s">
        <v>72</v>
      </c>
      <c r="E39" s="115">
        <f>F39</f>
        <v>2026.8659400000001</v>
      </c>
      <c r="F39" s="21">
        <f>E38*11.8</f>
        <v>2026.8659400000001</v>
      </c>
      <c r="J39" s="137" t="s">
        <v>237</v>
      </c>
      <c r="K39" s="98"/>
      <c r="L39" s="137">
        <f>1062.46</f>
        <v>1062.46</v>
      </c>
    </row>
    <row r="40" spans="1:15" ht="63.75">
      <c r="A40" s="120" t="s">
        <v>122</v>
      </c>
      <c r="B40" s="112" t="s">
        <v>75</v>
      </c>
      <c r="C40" s="113" t="s">
        <v>217</v>
      </c>
      <c r="D40" s="125" t="s">
        <v>70</v>
      </c>
      <c r="E40" s="126">
        <f>E35</f>
        <v>171.76830000000001</v>
      </c>
      <c r="J40" s="137" t="s">
        <v>238</v>
      </c>
      <c r="K40" s="143"/>
      <c r="L40" s="98">
        <f>275.54</f>
        <v>275.54000000000002</v>
      </c>
      <c r="M40" s="22" t="s">
        <v>239</v>
      </c>
      <c r="O40" s="21">
        <f>151.78</f>
        <v>151.78</v>
      </c>
    </row>
    <row r="41" spans="1:15" ht="51">
      <c r="A41" s="120" t="s">
        <v>123</v>
      </c>
      <c r="B41" s="127" t="s">
        <v>218</v>
      </c>
      <c r="C41" s="113" t="s">
        <v>219</v>
      </c>
      <c r="D41" s="155" t="s">
        <v>38</v>
      </c>
      <c r="E41" s="115">
        <f>L39</f>
        <v>1062.46</v>
      </c>
      <c r="F41" s="21">
        <v>160.131</v>
      </c>
      <c r="G41" s="144">
        <f>E37</f>
        <v>1145.1220000000001</v>
      </c>
      <c r="J41" s="145" t="s">
        <v>240</v>
      </c>
      <c r="K41" s="146"/>
      <c r="L41" s="98">
        <f>L40*0.3+L39</f>
        <v>1145.1220000000001</v>
      </c>
    </row>
    <row r="42" spans="1:15" ht="63.75">
      <c r="A42" s="120" t="s">
        <v>124</v>
      </c>
      <c r="B42" s="112" t="s">
        <v>77</v>
      </c>
      <c r="C42" s="113" t="s">
        <v>220</v>
      </c>
      <c r="D42" s="156" t="s">
        <v>38</v>
      </c>
      <c r="E42" s="129">
        <f>E41</f>
        <v>1062.46</v>
      </c>
    </row>
    <row r="43" spans="1:15" ht="42" customHeight="1">
      <c r="A43" s="120" t="s">
        <v>125</v>
      </c>
      <c r="B43" s="118" t="s">
        <v>221</v>
      </c>
      <c r="C43" s="113" t="s">
        <v>261</v>
      </c>
      <c r="D43" s="155" t="s">
        <v>79</v>
      </c>
      <c r="E43" s="130">
        <f>E42*0.03*0.14*434</f>
        <v>1936.652088</v>
      </c>
    </row>
    <row r="44" spans="1:15" ht="49.5" customHeight="1">
      <c r="A44" s="120" t="s">
        <v>126</v>
      </c>
      <c r="B44" s="118" t="s">
        <v>223</v>
      </c>
      <c r="C44" s="124" t="s">
        <v>262</v>
      </c>
      <c r="D44" s="155" t="s">
        <v>79</v>
      </c>
      <c r="E44" s="115">
        <f>E42*520*(0.0012+0.0004)</f>
        <v>883.96672000000001</v>
      </c>
    </row>
    <row r="45" spans="1:15" ht="36">
      <c r="A45" s="120" t="s">
        <v>127</v>
      </c>
      <c r="B45" s="118" t="s">
        <v>225</v>
      </c>
      <c r="C45" s="113" t="s">
        <v>263</v>
      </c>
      <c r="D45" s="155" t="s">
        <v>72</v>
      </c>
      <c r="E45" s="115">
        <f>E42*0.03*1.26*2.8</f>
        <v>112.45076639999998</v>
      </c>
    </row>
    <row r="46" spans="1:15" ht="40.5" customHeight="1">
      <c r="A46" s="120" t="s">
        <v>128</v>
      </c>
      <c r="B46" s="112" t="s">
        <v>227</v>
      </c>
      <c r="C46" s="113" t="s">
        <v>264</v>
      </c>
      <c r="D46" s="155" t="s">
        <v>72</v>
      </c>
      <c r="E46" s="115">
        <f>E42*0.03*0.18*85</f>
        <v>487.66913999999997</v>
      </c>
    </row>
    <row r="47" spans="1:15" ht="25.5">
      <c r="A47" s="120" t="s">
        <v>129</v>
      </c>
      <c r="B47" s="112" t="s">
        <v>229</v>
      </c>
      <c r="C47" s="113" t="s">
        <v>265</v>
      </c>
      <c r="D47" s="155" t="s">
        <v>72</v>
      </c>
      <c r="E47" s="115">
        <f>E42*0.03*86</f>
        <v>2741.1468</v>
      </c>
    </row>
    <row r="48" spans="1:15" ht="25.5">
      <c r="A48" s="120" t="s">
        <v>130</v>
      </c>
      <c r="B48" s="118" t="s">
        <v>84</v>
      </c>
      <c r="C48" s="113" t="s">
        <v>266</v>
      </c>
      <c r="D48" s="155" t="s">
        <v>70</v>
      </c>
      <c r="E48" s="115">
        <f>E42*0.03</f>
        <v>31.873799999999999</v>
      </c>
      <c r="F48" s="21">
        <f>E42*0.03</f>
        <v>31.873799999999999</v>
      </c>
    </row>
    <row r="49" spans="1:15">
      <c r="A49" s="120" t="s">
        <v>131</v>
      </c>
      <c r="B49" s="121" t="s">
        <v>231</v>
      </c>
      <c r="C49" s="122"/>
      <c r="D49" s="155"/>
      <c r="E49" s="115"/>
    </row>
    <row r="50" spans="1:15" ht="38.25">
      <c r="A50" s="131" t="s">
        <v>132</v>
      </c>
      <c r="B50" s="118" t="s">
        <v>232</v>
      </c>
      <c r="C50" s="123" t="s">
        <v>233</v>
      </c>
      <c r="D50" s="155" t="s">
        <v>90</v>
      </c>
      <c r="E50" s="115">
        <f>L40</f>
        <v>275.54000000000002</v>
      </c>
    </row>
    <row r="51" spans="1:15" ht="30" customHeight="1">
      <c r="A51" s="117" t="s">
        <v>91</v>
      </c>
      <c r="B51" s="255" t="s">
        <v>195</v>
      </c>
      <c r="C51" s="256"/>
      <c r="D51" s="256"/>
      <c r="E51" s="257"/>
    </row>
    <row r="52" spans="1:15">
      <c r="A52" s="120" t="s">
        <v>242</v>
      </c>
      <c r="B52" s="121" t="s">
        <v>18</v>
      </c>
      <c r="C52" s="122"/>
      <c r="D52" s="155"/>
      <c r="E52" s="115"/>
    </row>
    <row r="53" spans="1:15" ht="25.5">
      <c r="A53" s="120" t="s">
        <v>92</v>
      </c>
      <c r="B53" s="112" t="s">
        <v>69</v>
      </c>
      <c r="C53" s="113" t="s">
        <v>267</v>
      </c>
      <c r="D53" s="123" t="s">
        <v>70</v>
      </c>
      <c r="E53" s="115">
        <f>L59*0.15</f>
        <v>122.65575</v>
      </c>
    </row>
    <row r="54" spans="1:15" ht="38.25">
      <c r="A54" s="120" t="s">
        <v>93</v>
      </c>
      <c r="B54" s="112" t="s">
        <v>71</v>
      </c>
      <c r="C54" s="124" t="s">
        <v>268</v>
      </c>
      <c r="D54" s="123" t="s">
        <v>72</v>
      </c>
      <c r="E54" s="115">
        <f>E53*F54</f>
        <v>981.24599999999998</v>
      </c>
      <c r="F54" s="21">
        <v>8</v>
      </c>
    </row>
    <row r="55" spans="1:15" ht="24" customHeight="1">
      <c r="A55" s="120" t="s">
        <v>94</v>
      </c>
      <c r="B55" s="118" t="s">
        <v>21</v>
      </c>
      <c r="C55" s="113" t="s">
        <v>215</v>
      </c>
      <c r="D55" s="155" t="s">
        <v>38</v>
      </c>
      <c r="E55" s="115">
        <f>L59</f>
        <v>817.70500000000004</v>
      </c>
      <c r="H55" s="140"/>
      <c r="I55" s="141"/>
      <c r="J55" s="141"/>
    </row>
    <row r="56" spans="1:15" ht="39.75" customHeight="1">
      <c r="A56" s="120" t="s">
        <v>95</v>
      </c>
      <c r="B56" s="147" t="s">
        <v>73</v>
      </c>
      <c r="C56" s="113" t="s">
        <v>269</v>
      </c>
      <c r="D56" s="123" t="s">
        <v>70</v>
      </c>
      <c r="E56" s="115">
        <f>F56</f>
        <v>122.65575</v>
      </c>
      <c r="F56" s="21">
        <f>E55*0.15</f>
        <v>122.65575</v>
      </c>
      <c r="H56" s="140"/>
      <c r="I56" s="142"/>
      <c r="J56" s="141"/>
    </row>
    <row r="57" spans="1:15" ht="25.5">
      <c r="A57" s="120" t="s">
        <v>97</v>
      </c>
      <c r="B57" s="112" t="s">
        <v>74</v>
      </c>
      <c r="C57" s="113" t="s">
        <v>270</v>
      </c>
      <c r="D57" s="123" t="s">
        <v>72</v>
      </c>
      <c r="E57" s="115">
        <f>F57</f>
        <v>1447.3378500000001</v>
      </c>
      <c r="F57" s="21">
        <f>E56*11.8</f>
        <v>1447.3378500000001</v>
      </c>
      <c r="J57" s="137" t="s">
        <v>237</v>
      </c>
      <c r="K57" s="98"/>
      <c r="L57" s="137">
        <f>750.37</f>
        <v>750.37</v>
      </c>
    </row>
    <row r="58" spans="1:15" ht="63.75">
      <c r="A58" s="120" t="s">
        <v>98</v>
      </c>
      <c r="B58" s="112" t="s">
        <v>75</v>
      </c>
      <c r="C58" s="113" t="s">
        <v>217</v>
      </c>
      <c r="D58" s="125" t="s">
        <v>70</v>
      </c>
      <c r="E58" s="126">
        <f>E53</f>
        <v>122.65575</v>
      </c>
      <c r="J58" s="137" t="s">
        <v>238</v>
      </c>
      <c r="K58" s="143"/>
      <c r="L58" s="98">
        <f>224.45</f>
        <v>224.45</v>
      </c>
      <c r="M58" s="22" t="s">
        <v>239</v>
      </c>
      <c r="O58" s="21">
        <f>123.53</f>
        <v>123.53</v>
      </c>
    </row>
    <row r="59" spans="1:15" ht="51">
      <c r="A59" s="120" t="s">
        <v>99</v>
      </c>
      <c r="B59" s="127" t="s">
        <v>218</v>
      </c>
      <c r="C59" s="113" t="s">
        <v>219</v>
      </c>
      <c r="D59" s="155" t="s">
        <v>38</v>
      </c>
      <c r="E59" s="115">
        <f>L57</f>
        <v>750.37</v>
      </c>
      <c r="F59" s="21">
        <v>160.131</v>
      </c>
      <c r="G59" s="144">
        <f>E55</f>
        <v>817.70500000000004</v>
      </c>
      <c r="J59" s="145" t="s">
        <v>240</v>
      </c>
      <c r="K59" s="146"/>
      <c r="L59" s="98">
        <f>L58*0.3+L57</f>
        <v>817.70500000000004</v>
      </c>
    </row>
    <row r="60" spans="1:15" ht="63.75">
      <c r="A60" s="120" t="s">
        <v>100</v>
      </c>
      <c r="B60" s="112" t="s">
        <v>77</v>
      </c>
      <c r="C60" s="113" t="s">
        <v>220</v>
      </c>
      <c r="D60" s="156" t="s">
        <v>38</v>
      </c>
      <c r="E60" s="129">
        <f>E59</f>
        <v>750.37</v>
      </c>
    </row>
    <row r="61" spans="1:15" ht="42" customHeight="1">
      <c r="A61" s="120" t="s">
        <v>101</v>
      </c>
      <c r="B61" s="118" t="s">
        <v>221</v>
      </c>
      <c r="C61" s="113" t="s">
        <v>271</v>
      </c>
      <c r="D61" s="155" t="s">
        <v>79</v>
      </c>
      <c r="E61" s="130">
        <f>E60*0.03*0.14*434</f>
        <v>1367.7744359999999</v>
      </c>
    </row>
    <row r="62" spans="1:15" ht="49.5" customHeight="1">
      <c r="A62" s="120" t="s">
        <v>102</v>
      </c>
      <c r="B62" s="118" t="s">
        <v>223</v>
      </c>
      <c r="C62" s="124" t="s">
        <v>272</v>
      </c>
      <c r="D62" s="155" t="s">
        <v>79</v>
      </c>
      <c r="E62" s="115">
        <f>E60*520*(0.0012+0.0004)</f>
        <v>624.30783999999994</v>
      </c>
    </row>
    <row r="63" spans="1:15" ht="36">
      <c r="A63" s="120" t="s">
        <v>103</v>
      </c>
      <c r="B63" s="118" t="s">
        <v>225</v>
      </c>
      <c r="C63" s="113" t="s">
        <v>273</v>
      </c>
      <c r="D63" s="155" t="s">
        <v>72</v>
      </c>
      <c r="E63" s="115">
        <f>E60*0.03*1.26*2.8</f>
        <v>79.4191608</v>
      </c>
    </row>
    <row r="64" spans="1:15" ht="40.5" customHeight="1">
      <c r="A64" s="120" t="s">
        <v>104</v>
      </c>
      <c r="B64" s="112" t="s">
        <v>227</v>
      </c>
      <c r="C64" s="113" t="s">
        <v>264</v>
      </c>
      <c r="D64" s="155" t="s">
        <v>72</v>
      </c>
      <c r="E64" s="115">
        <f>E60*0.03*0.18*85</f>
        <v>344.41982999999993</v>
      </c>
    </row>
    <row r="65" spans="1:15" ht="25.5">
      <c r="A65" s="120" t="s">
        <v>105</v>
      </c>
      <c r="B65" s="112" t="s">
        <v>229</v>
      </c>
      <c r="C65" s="113" t="s">
        <v>274</v>
      </c>
      <c r="D65" s="155" t="s">
        <v>72</v>
      </c>
      <c r="E65" s="115">
        <f>E60*0.03*86</f>
        <v>1935.9546</v>
      </c>
    </row>
    <row r="66" spans="1:15" ht="25.5">
      <c r="A66" s="120" t="s">
        <v>106</v>
      </c>
      <c r="B66" s="118" t="s">
        <v>84</v>
      </c>
      <c r="C66" s="113" t="s">
        <v>275</v>
      </c>
      <c r="D66" s="155" t="s">
        <v>70</v>
      </c>
      <c r="E66" s="115">
        <f>E60*0.03</f>
        <v>22.511099999999999</v>
      </c>
      <c r="F66" s="21">
        <f>E60*0.03</f>
        <v>22.511099999999999</v>
      </c>
    </row>
    <row r="67" spans="1:15">
      <c r="A67" s="120" t="s">
        <v>107</v>
      </c>
      <c r="B67" s="121" t="s">
        <v>231</v>
      </c>
      <c r="C67" s="122"/>
      <c r="D67" s="155"/>
      <c r="E67" s="115"/>
    </row>
    <row r="68" spans="1:15" ht="38.25">
      <c r="A68" s="131" t="s">
        <v>108</v>
      </c>
      <c r="B68" s="118" t="s">
        <v>232</v>
      </c>
      <c r="C68" s="123" t="s">
        <v>233</v>
      </c>
      <c r="D68" s="155" t="s">
        <v>90</v>
      </c>
      <c r="E68" s="115">
        <f>L58</f>
        <v>224.45</v>
      </c>
    </row>
    <row r="69" spans="1:15" ht="30" customHeight="1">
      <c r="A69" s="117" t="s">
        <v>133</v>
      </c>
      <c r="B69" s="255" t="s">
        <v>196</v>
      </c>
      <c r="C69" s="256"/>
      <c r="D69" s="256"/>
      <c r="E69" s="257"/>
    </row>
    <row r="70" spans="1:15">
      <c r="A70" s="120" t="s">
        <v>334</v>
      </c>
      <c r="B70" s="121" t="s">
        <v>18</v>
      </c>
      <c r="C70" s="122"/>
      <c r="D70" s="155"/>
      <c r="E70" s="115"/>
    </row>
    <row r="71" spans="1:15" ht="25.5">
      <c r="A71" s="120" t="s">
        <v>135</v>
      </c>
      <c r="B71" s="112" t="s">
        <v>69</v>
      </c>
      <c r="C71" s="113" t="s">
        <v>276</v>
      </c>
      <c r="D71" s="123" t="s">
        <v>70</v>
      </c>
      <c r="E71" s="115">
        <f>L77*0.15</f>
        <v>155.32590000000002</v>
      </c>
    </row>
    <row r="72" spans="1:15" ht="38.25">
      <c r="A72" s="120" t="s">
        <v>136</v>
      </c>
      <c r="B72" s="112" t="s">
        <v>71</v>
      </c>
      <c r="C72" s="124" t="s">
        <v>277</v>
      </c>
      <c r="D72" s="123" t="s">
        <v>72</v>
      </c>
      <c r="E72" s="115">
        <f>E71*F72</f>
        <v>1242.6072000000001</v>
      </c>
      <c r="F72" s="21">
        <v>8</v>
      </c>
    </row>
    <row r="73" spans="1:15" ht="24" customHeight="1">
      <c r="A73" s="120" t="s">
        <v>137</v>
      </c>
      <c r="B73" s="118" t="s">
        <v>21</v>
      </c>
      <c r="C73" s="113" t="s">
        <v>215</v>
      </c>
      <c r="D73" s="155" t="s">
        <v>38</v>
      </c>
      <c r="E73" s="115">
        <f>L77</f>
        <v>1035.5060000000001</v>
      </c>
      <c r="H73" s="140"/>
      <c r="I73" s="141"/>
      <c r="J73" s="141"/>
    </row>
    <row r="74" spans="1:15" ht="39.75" customHeight="1">
      <c r="A74" s="120" t="s">
        <v>138</v>
      </c>
      <c r="B74" s="147" t="s">
        <v>73</v>
      </c>
      <c r="C74" s="113" t="s">
        <v>278</v>
      </c>
      <c r="D74" s="123" t="s">
        <v>70</v>
      </c>
      <c r="E74" s="115">
        <f>F74</f>
        <v>155.32590000000002</v>
      </c>
      <c r="F74" s="21">
        <f>E73*0.15</f>
        <v>155.32590000000002</v>
      </c>
      <c r="H74" s="140"/>
      <c r="I74" s="142"/>
      <c r="J74" s="141"/>
    </row>
    <row r="75" spans="1:15" ht="25.5">
      <c r="A75" s="120" t="s">
        <v>139</v>
      </c>
      <c r="B75" s="112" t="s">
        <v>74</v>
      </c>
      <c r="C75" s="113" t="s">
        <v>279</v>
      </c>
      <c r="D75" s="123" t="s">
        <v>72</v>
      </c>
      <c r="E75" s="115">
        <f>F75</f>
        <v>1832.8456200000003</v>
      </c>
      <c r="F75" s="21">
        <f>E74*11.8</f>
        <v>1832.8456200000003</v>
      </c>
      <c r="J75" s="137" t="s">
        <v>237</v>
      </c>
      <c r="K75" s="98"/>
      <c r="L75" s="137">
        <f>950.45</f>
        <v>950.45</v>
      </c>
    </row>
    <row r="76" spans="1:15" ht="63.75">
      <c r="A76" s="120" t="s">
        <v>140</v>
      </c>
      <c r="B76" s="112" t="s">
        <v>75</v>
      </c>
      <c r="C76" s="113" t="s">
        <v>217</v>
      </c>
      <c r="D76" s="125" t="s">
        <v>70</v>
      </c>
      <c r="E76" s="126">
        <f>E71</f>
        <v>155.32590000000002</v>
      </c>
      <c r="J76" s="137" t="s">
        <v>238</v>
      </c>
      <c r="K76" s="143"/>
      <c r="L76" s="98">
        <f>283.52</f>
        <v>283.52</v>
      </c>
      <c r="M76" s="22" t="s">
        <v>239</v>
      </c>
      <c r="O76" s="21">
        <f>150.11</f>
        <v>150.11000000000001</v>
      </c>
    </row>
    <row r="77" spans="1:15" ht="51">
      <c r="A77" s="120" t="s">
        <v>141</v>
      </c>
      <c r="B77" s="127" t="s">
        <v>218</v>
      </c>
      <c r="C77" s="113" t="s">
        <v>219</v>
      </c>
      <c r="D77" s="155" t="s">
        <v>38</v>
      </c>
      <c r="E77" s="115">
        <f>L75</f>
        <v>950.45</v>
      </c>
      <c r="F77" s="21">
        <v>160.131</v>
      </c>
      <c r="G77" s="144">
        <f>E73</f>
        <v>1035.5060000000001</v>
      </c>
      <c r="J77" s="145" t="s">
        <v>240</v>
      </c>
      <c r="K77" s="146"/>
      <c r="L77" s="98">
        <f>L76*0.3+L75</f>
        <v>1035.5060000000001</v>
      </c>
    </row>
    <row r="78" spans="1:15" ht="63.75">
      <c r="A78" s="120" t="s">
        <v>142</v>
      </c>
      <c r="B78" s="112" t="s">
        <v>77</v>
      </c>
      <c r="C78" s="113" t="s">
        <v>220</v>
      </c>
      <c r="D78" s="156" t="s">
        <v>38</v>
      </c>
      <c r="E78" s="129">
        <f>E77</f>
        <v>950.45</v>
      </c>
    </row>
    <row r="79" spans="1:15" ht="42" customHeight="1">
      <c r="A79" s="120" t="s">
        <v>143</v>
      </c>
      <c r="B79" s="118" t="s">
        <v>221</v>
      </c>
      <c r="C79" s="113" t="s">
        <v>280</v>
      </c>
      <c r="D79" s="155" t="s">
        <v>79</v>
      </c>
      <c r="E79" s="130">
        <f>E78*0.03*0.14*434</f>
        <v>1732.4802600000003</v>
      </c>
    </row>
    <row r="80" spans="1:15" ht="49.5" customHeight="1">
      <c r="A80" s="120" t="s">
        <v>144</v>
      </c>
      <c r="B80" s="118" t="s">
        <v>223</v>
      </c>
      <c r="C80" s="124" t="s">
        <v>281</v>
      </c>
      <c r="D80" s="155" t="s">
        <v>79</v>
      </c>
      <c r="E80" s="115">
        <f>E78*520*(0.0012+0.0004)</f>
        <v>790.7743999999999</v>
      </c>
    </row>
    <row r="81" spans="1:14" ht="36">
      <c r="A81" s="120" t="s">
        <v>145</v>
      </c>
      <c r="B81" s="118" t="s">
        <v>225</v>
      </c>
      <c r="C81" s="113" t="s">
        <v>282</v>
      </c>
      <c r="D81" s="155" t="s">
        <v>72</v>
      </c>
      <c r="E81" s="115">
        <f>E78*0.03*1.26*2.8</f>
        <v>100.595628</v>
      </c>
    </row>
    <row r="82" spans="1:14" ht="40.5" customHeight="1">
      <c r="A82" s="120" t="s">
        <v>146</v>
      </c>
      <c r="B82" s="112" t="s">
        <v>227</v>
      </c>
      <c r="C82" s="113" t="s">
        <v>264</v>
      </c>
      <c r="D82" s="155" t="s">
        <v>72</v>
      </c>
      <c r="E82" s="115">
        <f>E78*0.03*0.18*85</f>
        <v>436.25655</v>
      </c>
    </row>
    <row r="83" spans="1:14" ht="25.5">
      <c r="A83" s="120" t="s">
        <v>147</v>
      </c>
      <c r="B83" s="112" t="s">
        <v>229</v>
      </c>
      <c r="C83" s="113" t="s">
        <v>283</v>
      </c>
      <c r="D83" s="155" t="s">
        <v>72</v>
      </c>
      <c r="E83" s="115">
        <f>E78*0.03*86</f>
        <v>2452.1610000000001</v>
      </c>
    </row>
    <row r="84" spans="1:14" ht="25.5">
      <c r="A84" s="120" t="s">
        <v>148</v>
      </c>
      <c r="B84" s="118" t="s">
        <v>84</v>
      </c>
      <c r="C84" s="113" t="s">
        <v>284</v>
      </c>
      <c r="D84" s="155" t="s">
        <v>70</v>
      </c>
      <c r="E84" s="115">
        <f>E78*0.03</f>
        <v>28.513500000000001</v>
      </c>
      <c r="F84" s="21">
        <f>E78*0.03</f>
        <v>28.513500000000001</v>
      </c>
    </row>
    <row r="85" spans="1:14">
      <c r="A85" s="120" t="s">
        <v>149</v>
      </c>
      <c r="B85" s="121" t="s">
        <v>231</v>
      </c>
      <c r="C85" s="122"/>
      <c r="D85" s="155"/>
      <c r="E85" s="115"/>
    </row>
    <row r="86" spans="1:14" ht="38.25">
      <c r="A86" s="120" t="s">
        <v>150</v>
      </c>
      <c r="B86" s="118" t="s">
        <v>232</v>
      </c>
      <c r="C86" s="123" t="s">
        <v>233</v>
      </c>
      <c r="D86" s="155" t="s">
        <v>90</v>
      </c>
      <c r="E86" s="115">
        <f>L76</f>
        <v>283.52</v>
      </c>
    </row>
    <row r="87" spans="1:14" ht="40.5" customHeight="1" thickBot="1">
      <c r="A87" s="154" t="s">
        <v>151</v>
      </c>
      <c r="B87" s="259" t="s">
        <v>331</v>
      </c>
      <c r="C87" s="259"/>
      <c r="D87" s="259"/>
      <c r="E87" s="260"/>
    </row>
    <row r="88" spans="1:14">
      <c r="A88" s="120" t="s">
        <v>152</v>
      </c>
      <c r="B88" s="121" t="s">
        <v>18</v>
      </c>
      <c r="C88" s="122"/>
      <c r="D88" s="155"/>
      <c r="E88" s="115"/>
    </row>
    <row r="89" spans="1:14" ht="25.5">
      <c r="A89" s="120" t="s">
        <v>153</v>
      </c>
      <c r="B89" s="112" t="s">
        <v>69</v>
      </c>
      <c r="C89" s="113" t="s">
        <v>254</v>
      </c>
      <c r="D89" s="123" t="s">
        <v>70</v>
      </c>
      <c r="E89" s="115">
        <f>K92*0.15</f>
        <v>65.290500000000009</v>
      </c>
    </row>
    <row r="90" spans="1:14" ht="38.25">
      <c r="A90" s="120" t="s">
        <v>154</v>
      </c>
      <c r="B90" s="112" t="s">
        <v>71</v>
      </c>
      <c r="C90" s="124" t="s">
        <v>243</v>
      </c>
      <c r="D90" s="123" t="s">
        <v>72</v>
      </c>
      <c r="E90" s="115">
        <f>E89*F90</f>
        <v>522.32400000000007</v>
      </c>
      <c r="F90" s="21">
        <v>8</v>
      </c>
      <c r="I90" s="137" t="s">
        <v>237</v>
      </c>
      <c r="J90" s="98"/>
      <c r="K90" s="137">
        <v>398.67</v>
      </c>
    </row>
    <row r="91" spans="1:14" ht="25.5">
      <c r="A91" s="120" t="s">
        <v>155</v>
      </c>
      <c r="B91" s="118" t="s">
        <v>21</v>
      </c>
      <c r="C91" s="113" t="s">
        <v>215</v>
      </c>
      <c r="D91" s="155" t="s">
        <v>38</v>
      </c>
      <c r="E91" s="115">
        <f>K92</f>
        <v>435.27000000000004</v>
      </c>
      <c r="I91" s="137" t="s">
        <v>238</v>
      </c>
      <c r="J91" s="143"/>
      <c r="K91" s="98">
        <f>61*2</f>
        <v>122</v>
      </c>
      <c r="L91" s="22" t="s">
        <v>239</v>
      </c>
      <c r="N91" s="21">
        <v>58.52</v>
      </c>
    </row>
    <row r="92" spans="1:14">
      <c r="A92" s="120" t="s">
        <v>156</v>
      </c>
      <c r="B92" s="147" t="s">
        <v>73</v>
      </c>
      <c r="C92" s="113" t="s">
        <v>244</v>
      </c>
      <c r="D92" s="123" t="s">
        <v>70</v>
      </c>
      <c r="E92" s="115">
        <f>E91*0.15</f>
        <v>65.290500000000009</v>
      </c>
      <c r="I92" s="145" t="s">
        <v>240</v>
      </c>
      <c r="J92" s="146"/>
      <c r="K92" s="98">
        <f>K91*0.3+K90</f>
        <v>435.27000000000004</v>
      </c>
    </row>
    <row r="93" spans="1:14" ht="25.5">
      <c r="A93" s="120" t="s">
        <v>157</v>
      </c>
      <c r="B93" s="112" t="s">
        <v>74</v>
      </c>
      <c r="C93" s="113" t="s">
        <v>245</v>
      </c>
      <c r="D93" s="123" t="s">
        <v>72</v>
      </c>
      <c r="E93" s="115">
        <f>E92*F93</f>
        <v>770.42790000000014</v>
      </c>
      <c r="F93" s="21">
        <v>11.8</v>
      </c>
    </row>
    <row r="94" spans="1:14" ht="63.75">
      <c r="A94" s="120" t="s">
        <v>158</v>
      </c>
      <c r="B94" s="112" t="s">
        <v>75</v>
      </c>
      <c r="C94" s="113" t="s">
        <v>217</v>
      </c>
      <c r="D94" s="125" t="s">
        <v>70</v>
      </c>
      <c r="E94" s="126">
        <f>E89</f>
        <v>65.290500000000009</v>
      </c>
    </row>
    <row r="95" spans="1:14" ht="51">
      <c r="A95" s="120" t="s">
        <v>159</v>
      </c>
      <c r="B95" s="127" t="s">
        <v>218</v>
      </c>
      <c r="C95" s="113" t="s">
        <v>246</v>
      </c>
      <c r="D95" s="155" t="s">
        <v>38</v>
      </c>
      <c r="E95" s="115">
        <f>K90</f>
        <v>398.67</v>
      </c>
    </row>
    <row r="96" spans="1:14" ht="63.75">
      <c r="A96" s="120" t="s">
        <v>160</v>
      </c>
      <c r="B96" s="112" t="s">
        <v>77</v>
      </c>
      <c r="C96" s="113" t="s">
        <v>220</v>
      </c>
      <c r="D96" s="156" t="s">
        <v>38</v>
      </c>
      <c r="E96" s="129">
        <f>E95</f>
        <v>398.67</v>
      </c>
    </row>
    <row r="97" spans="1:15" ht="38.25">
      <c r="A97" s="120" t="s">
        <v>161</v>
      </c>
      <c r="B97" s="118" t="s">
        <v>221</v>
      </c>
      <c r="C97" s="113" t="s">
        <v>247</v>
      </c>
      <c r="D97" s="155" t="s">
        <v>79</v>
      </c>
      <c r="E97" s="130">
        <f>E96*0.03*0.14*434</f>
        <v>726.69567600000016</v>
      </c>
    </row>
    <row r="98" spans="1:15" ht="48">
      <c r="A98" s="120" t="s">
        <v>162</v>
      </c>
      <c r="B98" s="118" t="s">
        <v>223</v>
      </c>
      <c r="C98" s="124" t="s">
        <v>248</v>
      </c>
      <c r="D98" s="155" t="s">
        <v>79</v>
      </c>
      <c r="E98" s="115">
        <f>E96*520*(0.0012+0.0004)</f>
        <v>331.69343999999995</v>
      </c>
    </row>
    <row r="99" spans="1:15" ht="36">
      <c r="A99" s="120" t="s">
        <v>163</v>
      </c>
      <c r="B99" s="118" t="s">
        <v>225</v>
      </c>
      <c r="C99" s="113" t="s">
        <v>249</v>
      </c>
      <c r="D99" s="155" t="s">
        <v>72</v>
      </c>
      <c r="E99" s="115">
        <f>E96*0.03*1.26*2.8</f>
        <v>42.195232799999999</v>
      </c>
    </row>
    <row r="100" spans="1:15" ht="38.25">
      <c r="A100" s="120" t="s">
        <v>164</v>
      </c>
      <c r="B100" s="112" t="s">
        <v>227</v>
      </c>
      <c r="C100" s="113" t="s">
        <v>250</v>
      </c>
      <c r="D100" s="155" t="s">
        <v>72</v>
      </c>
      <c r="E100" s="115">
        <f>E96*0.03*0.18*85</f>
        <v>182.98953</v>
      </c>
    </row>
    <row r="101" spans="1:15" ht="25.5">
      <c r="A101" s="120" t="s">
        <v>165</v>
      </c>
      <c r="B101" s="112" t="s">
        <v>229</v>
      </c>
      <c r="C101" s="113" t="s">
        <v>251</v>
      </c>
      <c r="D101" s="155" t="s">
        <v>72</v>
      </c>
      <c r="E101" s="115">
        <f>E96*0.03*86</f>
        <v>1028.5686000000001</v>
      </c>
    </row>
    <row r="102" spans="1:15" ht="25.5">
      <c r="A102" s="120" t="s">
        <v>166</v>
      </c>
      <c r="B102" s="118" t="s">
        <v>84</v>
      </c>
      <c r="C102" s="113" t="s">
        <v>252</v>
      </c>
      <c r="D102" s="155" t="s">
        <v>70</v>
      </c>
      <c r="E102" s="115">
        <f>E96*0.03</f>
        <v>11.960100000000001</v>
      </c>
    </row>
    <row r="103" spans="1:15">
      <c r="A103" s="120" t="s">
        <v>167</v>
      </c>
      <c r="B103" s="121" t="s">
        <v>231</v>
      </c>
      <c r="C103" s="122"/>
      <c r="D103" s="155"/>
      <c r="E103" s="115"/>
    </row>
    <row r="104" spans="1:15" ht="38.25">
      <c r="A104" s="131" t="s">
        <v>168</v>
      </c>
      <c r="B104" s="118" t="s">
        <v>232</v>
      </c>
      <c r="C104" s="123" t="s">
        <v>233</v>
      </c>
      <c r="D104" s="155" t="s">
        <v>90</v>
      </c>
      <c r="E104" s="115">
        <f>K91</f>
        <v>122</v>
      </c>
    </row>
    <row r="105" spans="1:15" ht="30" customHeight="1">
      <c r="A105" s="117" t="s">
        <v>169</v>
      </c>
      <c r="B105" s="255" t="s">
        <v>332</v>
      </c>
      <c r="C105" s="256"/>
      <c r="D105" s="256"/>
      <c r="E105" s="257"/>
    </row>
    <row r="106" spans="1:15">
      <c r="A106" s="120" t="s">
        <v>335</v>
      </c>
      <c r="B106" s="121" t="s">
        <v>18</v>
      </c>
      <c r="C106" s="122"/>
      <c r="D106" s="155"/>
      <c r="E106" s="115"/>
    </row>
    <row r="107" spans="1:15" ht="25.5">
      <c r="A107" s="120" t="s">
        <v>171</v>
      </c>
      <c r="B107" s="112" t="s">
        <v>69</v>
      </c>
      <c r="C107" s="113" t="s">
        <v>285</v>
      </c>
      <c r="D107" s="123" t="s">
        <v>70</v>
      </c>
      <c r="E107" s="115">
        <f>L113*0.15</f>
        <v>70.426500000000004</v>
      </c>
    </row>
    <row r="108" spans="1:15" ht="38.25">
      <c r="A108" s="120" t="s">
        <v>172</v>
      </c>
      <c r="B108" s="112" t="s">
        <v>71</v>
      </c>
      <c r="C108" s="124" t="s">
        <v>286</v>
      </c>
      <c r="D108" s="123" t="s">
        <v>72</v>
      </c>
      <c r="E108" s="115">
        <f>E107*F108</f>
        <v>563.41200000000003</v>
      </c>
      <c r="F108" s="21">
        <v>8</v>
      </c>
    </row>
    <row r="109" spans="1:15" ht="24" customHeight="1">
      <c r="A109" s="120" t="s">
        <v>173</v>
      </c>
      <c r="B109" s="118" t="s">
        <v>21</v>
      </c>
      <c r="C109" s="113" t="s">
        <v>215</v>
      </c>
      <c r="D109" s="155" t="s">
        <v>38</v>
      </c>
      <c r="E109" s="115">
        <f>L113</f>
        <v>469.51000000000005</v>
      </c>
      <c r="H109" s="140"/>
      <c r="I109" s="141"/>
      <c r="J109" s="141"/>
    </row>
    <row r="110" spans="1:15" ht="39.75" customHeight="1">
      <c r="A110" s="120" t="s">
        <v>174</v>
      </c>
      <c r="B110" s="147" t="s">
        <v>73</v>
      </c>
      <c r="C110" s="113" t="s">
        <v>287</v>
      </c>
      <c r="D110" s="123" t="s">
        <v>70</v>
      </c>
      <c r="E110" s="115">
        <f>F110</f>
        <v>70.426500000000004</v>
      </c>
      <c r="F110" s="21">
        <f>E109*0.15</f>
        <v>70.426500000000004</v>
      </c>
      <c r="H110" s="140"/>
      <c r="I110" s="142"/>
      <c r="J110" s="141"/>
    </row>
    <row r="111" spans="1:15" ht="25.5">
      <c r="A111" s="120" t="s">
        <v>175</v>
      </c>
      <c r="B111" s="112" t="s">
        <v>74</v>
      </c>
      <c r="C111" s="113" t="s">
        <v>288</v>
      </c>
      <c r="D111" s="123" t="s">
        <v>72</v>
      </c>
      <c r="E111" s="115">
        <f>F111</f>
        <v>831.03270000000009</v>
      </c>
      <c r="F111" s="21">
        <f>E110*11.8</f>
        <v>831.03270000000009</v>
      </c>
      <c r="J111" s="137" t="s">
        <v>237</v>
      </c>
      <c r="K111" s="98"/>
      <c r="L111" s="137">
        <f>426.91</f>
        <v>426.91</v>
      </c>
    </row>
    <row r="112" spans="1:15" ht="63.75">
      <c r="A112" s="120" t="s">
        <v>176</v>
      </c>
      <c r="B112" s="112" t="s">
        <v>75</v>
      </c>
      <c r="C112" s="113" t="s">
        <v>217</v>
      </c>
      <c r="D112" s="125" t="s">
        <v>70</v>
      </c>
      <c r="E112" s="126">
        <f>E107</f>
        <v>70.426500000000004</v>
      </c>
      <c r="J112" s="137" t="s">
        <v>238</v>
      </c>
      <c r="K112" s="143"/>
      <c r="L112" s="98">
        <f>142</f>
        <v>142</v>
      </c>
      <c r="M112" s="22" t="s">
        <v>239</v>
      </c>
      <c r="O112" s="21">
        <f>71.15</f>
        <v>71.150000000000006</v>
      </c>
    </row>
    <row r="113" spans="1:12" ht="51">
      <c r="A113" s="120" t="s">
        <v>177</v>
      </c>
      <c r="B113" s="127" t="s">
        <v>218</v>
      </c>
      <c r="C113" s="113" t="s">
        <v>219</v>
      </c>
      <c r="D113" s="155" t="s">
        <v>38</v>
      </c>
      <c r="E113" s="115">
        <f>L111</f>
        <v>426.91</v>
      </c>
      <c r="F113" s="21">
        <v>160.131</v>
      </c>
      <c r="G113" s="144">
        <f>E109</f>
        <v>469.51000000000005</v>
      </c>
      <c r="J113" s="145" t="s">
        <v>240</v>
      </c>
      <c r="K113" s="146"/>
      <c r="L113" s="98">
        <f>L112*0.3+L111</f>
        <v>469.51000000000005</v>
      </c>
    </row>
    <row r="114" spans="1:12" ht="63.75">
      <c r="A114" s="120" t="s">
        <v>178</v>
      </c>
      <c r="B114" s="112" t="s">
        <v>77</v>
      </c>
      <c r="C114" s="113" t="s">
        <v>220</v>
      </c>
      <c r="D114" s="156" t="s">
        <v>38</v>
      </c>
      <c r="E114" s="129">
        <f>E113</f>
        <v>426.91</v>
      </c>
    </row>
    <row r="115" spans="1:12" ht="42" customHeight="1">
      <c r="A115" s="120" t="s">
        <v>179</v>
      </c>
      <c r="B115" s="118" t="s">
        <v>221</v>
      </c>
      <c r="C115" s="113" t="s">
        <v>289</v>
      </c>
      <c r="D115" s="155" t="s">
        <v>79</v>
      </c>
      <c r="E115" s="130">
        <f>E114*0.03*0.14*434</f>
        <v>778.17154800000003</v>
      </c>
    </row>
    <row r="116" spans="1:12" ht="49.5" customHeight="1">
      <c r="A116" s="120" t="s">
        <v>180</v>
      </c>
      <c r="B116" s="118" t="s">
        <v>223</v>
      </c>
      <c r="C116" s="124" t="s">
        <v>290</v>
      </c>
      <c r="D116" s="155" t="s">
        <v>79</v>
      </c>
      <c r="E116" s="115">
        <f>E114*520*(0.0012+0.0004)</f>
        <v>355.18912</v>
      </c>
    </row>
    <row r="117" spans="1:12" ht="36">
      <c r="A117" s="120" t="s">
        <v>181</v>
      </c>
      <c r="B117" s="118" t="s">
        <v>225</v>
      </c>
      <c r="C117" s="113" t="s">
        <v>291</v>
      </c>
      <c r="D117" s="155" t="s">
        <v>72</v>
      </c>
      <c r="E117" s="115">
        <f>E114*0.03*1.26*2.8</f>
        <v>45.184154400000004</v>
      </c>
    </row>
    <row r="118" spans="1:12" ht="40.5" customHeight="1">
      <c r="A118" s="120" t="s">
        <v>182</v>
      </c>
      <c r="B118" s="112" t="s">
        <v>227</v>
      </c>
      <c r="C118" s="113" t="s">
        <v>264</v>
      </c>
      <c r="D118" s="155" t="s">
        <v>72</v>
      </c>
      <c r="E118" s="115">
        <f>E114*0.03*0.18*85</f>
        <v>195.95168999999996</v>
      </c>
    </row>
    <row r="119" spans="1:12" ht="25.5">
      <c r="A119" s="120" t="s">
        <v>183</v>
      </c>
      <c r="B119" s="112" t="s">
        <v>229</v>
      </c>
      <c r="C119" s="113" t="s">
        <v>292</v>
      </c>
      <c r="D119" s="155" t="s">
        <v>72</v>
      </c>
      <c r="E119" s="115">
        <f>E114*0.03*86</f>
        <v>1101.4277999999999</v>
      </c>
    </row>
    <row r="120" spans="1:12" ht="25.5">
      <c r="A120" s="120" t="s">
        <v>184</v>
      </c>
      <c r="B120" s="118" t="s">
        <v>84</v>
      </c>
      <c r="C120" s="113" t="s">
        <v>293</v>
      </c>
      <c r="D120" s="155" t="s">
        <v>70</v>
      </c>
      <c r="E120" s="115">
        <f>E114*0.03</f>
        <v>12.8073</v>
      </c>
      <c r="F120" s="21">
        <f>E114*0.03</f>
        <v>12.8073</v>
      </c>
    </row>
    <row r="121" spans="1:12">
      <c r="A121" s="120" t="s">
        <v>185</v>
      </c>
      <c r="B121" s="121" t="s">
        <v>231</v>
      </c>
      <c r="C121" s="122"/>
      <c r="D121" s="155"/>
      <c r="E121" s="115"/>
    </row>
    <row r="122" spans="1:12" ht="38.25">
      <c r="A122" s="131" t="s">
        <v>186</v>
      </c>
      <c r="B122" s="118" t="s">
        <v>232</v>
      </c>
      <c r="C122" s="123" t="s">
        <v>233</v>
      </c>
      <c r="D122" s="155" t="s">
        <v>90</v>
      </c>
      <c r="E122" s="115">
        <f>L112</f>
        <v>142</v>
      </c>
    </row>
    <row r="123" spans="1:12">
      <c r="A123" s="21"/>
      <c r="B123" s="98"/>
      <c r="C123" s="21"/>
      <c r="D123" s="21"/>
      <c r="E123" s="132"/>
    </row>
    <row r="124" spans="1:12">
      <c r="A124" s="21"/>
      <c r="B124" s="21"/>
      <c r="C124" s="21"/>
      <c r="D124" s="21"/>
      <c r="E124" s="132"/>
    </row>
    <row r="125" spans="1:12">
      <c r="A125" s="263" t="s">
        <v>337</v>
      </c>
      <c r="B125" s="263"/>
      <c r="C125" s="263"/>
      <c r="D125" s="263"/>
      <c r="E125" s="263"/>
    </row>
    <row r="126" spans="1:12">
      <c r="A126" s="133"/>
      <c r="B126" s="133"/>
      <c r="C126" s="134"/>
      <c r="D126" s="135"/>
      <c r="E126" s="136"/>
    </row>
    <row r="127" spans="1:12">
      <c r="A127" s="133"/>
      <c r="B127" s="133"/>
      <c r="C127" s="134"/>
      <c r="D127" s="135"/>
      <c r="E127" s="136"/>
    </row>
    <row r="128" spans="1:12">
      <c r="A128" s="261" t="s">
        <v>234</v>
      </c>
      <c r="B128" s="261"/>
      <c r="C128" s="261"/>
      <c r="D128" s="261"/>
      <c r="E128" s="261"/>
    </row>
    <row r="129" spans="1:5">
      <c r="A129" s="261" t="s">
        <v>235</v>
      </c>
      <c r="B129" s="261"/>
      <c r="C129" s="261"/>
      <c r="D129" s="261"/>
      <c r="E129" s="261"/>
    </row>
    <row r="130" spans="1:5">
      <c r="A130" s="262" t="s">
        <v>192</v>
      </c>
      <c r="B130" s="262"/>
      <c r="C130" s="262"/>
      <c r="D130" s="262"/>
      <c r="E130" s="262"/>
    </row>
    <row r="131" spans="1:5">
      <c r="A131" s="262" t="s">
        <v>236</v>
      </c>
      <c r="B131" s="262"/>
      <c r="C131" s="262"/>
      <c r="D131" s="262"/>
      <c r="E131" s="262"/>
    </row>
    <row r="132" spans="1:5">
      <c r="A132" s="263"/>
      <c r="B132" s="263"/>
      <c r="C132" s="148"/>
      <c r="D132" s="263"/>
      <c r="E132" s="263"/>
    </row>
    <row r="133" spans="1:5">
      <c r="A133" s="258"/>
      <c r="B133" s="258"/>
      <c r="C133" s="148"/>
      <c r="D133" s="149"/>
      <c r="E133" s="150"/>
    </row>
    <row r="134" spans="1:5">
      <c r="A134" s="151"/>
      <c r="B134" s="151"/>
      <c r="C134" s="151"/>
      <c r="D134" s="151"/>
      <c r="E134" s="152"/>
    </row>
  </sheetData>
  <mergeCells count="18">
    <mergeCell ref="A133:B133"/>
    <mergeCell ref="B87:E87"/>
    <mergeCell ref="B33:E33"/>
    <mergeCell ref="B51:E51"/>
    <mergeCell ref="B69:E69"/>
    <mergeCell ref="B105:E105"/>
    <mergeCell ref="A128:E128"/>
    <mergeCell ref="A129:E129"/>
    <mergeCell ref="A130:E130"/>
    <mergeCell ref="A131:E131"/>
    <mergeCell ref="A132:B132"/>
    <mergeCell ref="D132:E132"/>
    <mergeCell ref="A125:E125"/>
    <mergeCell ref="A1:E1"/>
    <mergeCell ref="A2:E2"/>
    <mergeCell ref="A6:E6"/>
    <mergeCell ref="A7:B7"/>
    <mergeCell ref="B15:E15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6" orientation="landscape" verticalDpi="4294967293" r:id="rId1"/>
  <rowBreaks count="1" manualBreakCount="1">
    <brk id="19" max="4" man="1"/>
  </rowBreaks>
  <legacyDrawing r:id="rId2"/>
  <oleObjects>
    <oleObject shapeId="819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abSelected="1" view="pageBreakPreview" zoomScaleSheetLayoutView="100" workbookViewId="0">
      <selection activeCell="A25" sqref="A25:H25"/>
    </sheetView>
  </sheetViews>
  <sheetFormatPr defaultRowHeight="12.75"/>
  <cols>
    <col min="1" max="2" width="9.140625" style="157"/>
    <col min="3" max="3" width="21" style="157" customWidth="1"/>
    <col min="4" max="4" width="25.28515625" style="157" customWidth="1"/>
    <col min="5" max="6" width="9.140625" style="157"/>
    <col min="7" max="7" width="34.7109375" style="157" customWidth="1"/>
    <col min="8" max="258" width="9.140625" style="157"/>
    <col min="259" max="259" width="21" style="157" customWidth="1"/>
    <col min="260" max="260" width="25.28515625" style="157" customWidth="1"/>
    <col min="261" max="262" width="9.140625" style="157"/>
    <col min="263" max="263" width="34.7109375" style="157" customWidth="1"/>
    <col min="264" max="514" width="9.140625" style="157"/>
    <col min="515" max="515" width="21" style="157" customWidth="1"/>
    <col min="516" max="516" width="25.28515625" style="157" customWidth="1"/>
    <col min="517" max="518" width="9.140625" style="157"/>
    <col min="519" max="519" width="34.7109375" style="157" customWidth="1"/>
    <col min="520" max="770" width="9.140625" style="157"/>
    <col min="771" max="771" width="21" style="157" customWidth="1"/>
    <col min="772" max="772" width="25.28515625" style="157" customWidth="1"/>
    <col min="773" max="774" width="9.140625" style="157"/>
    <col min="775" max="775" width="34.7109375" style="157" customWidth="1"/>
    <col min="776" max="1026" width="9.140625" style="157"/>
    <col min="1027" max="1027" width="21" style="157" customWidth="1"/>
    <col min="1028" max="1028" width="25.28515625" style="157" customWidth="1"/>
    <col min="1029" max="1030" width="9.140625" style="157"/>
    <col min="1031" max="1031" width="34.7109375" style="157" customWidth="1"/>
    <col min="1032" max="1282" width="9.140625" style="157"/>
    <col min="1283" max="1283" width="21" style="157" customWidth="1"/>
    <col min="1284" max="1284" width="25.28515625" style="157" customWidth="1"/>
    <col min="1285" max="1286" width="9.140625" style="157"/>
    <col min="1287" max="1287" width="34.7109375" style="157" customWidth="1"/>
    <col min="1288" max="1538" width="9.140625" style="157"/>
    <col min="1539" max="1539" width="21" style="157" customWidth="1"/>
    <col min="1540" max="1540" width="25.28515625" style="157" customWidth="1"/>
    <col min="1541" max="1542" width="9.140625" style="157"/>
    <col min="1543" max="1543" width="34.7109375" style="157" customWidth="1"/>
    <col min="1544" max="1794" width="9.140625" style="157"/>
    <col min="1795" max="1795" width="21" style="157" customWidth="1"/>
    <col min="1796" max="1796" width="25.28515625" style="157" customWidth="1"/>
    <col min="1797" max="1798" width="9.140625" style="157"/>
    <col min="1799" max="1799" width="34.7109375" style="157" customWidth="1"/>
    <col min="1800" max="2050" width="9.140625" style="157"/>
    <col min="2051" max="2051" width="21" style="157" customWidth="1"/>
    <col min="2052" max="2052" width="25.28515625" style="157" customWidth="1"/>
    <col min="2053" max="2054" width="9.140625" style="157"/>
    <col min="2055" max="2055" width="34.7109375" style="157" customWidth="1"/>
    <col min="2056" max="2306" width="9.140625" style="157"/>
    <col min="2307" max="2307" width="21" style="157" customWidth="1"/>
    <col min="2308" max="2308" width="25.28515625" style="157" customWidth="1"/>
    <col min="2309" max="2310" width="9.140625" style="157"/>
    <col min="2311" max="2311" width="34.7109375" style="157" customWidth="1"/>
    <col min="2312" max="2562" width="9.140625" style="157"/>
    <col min="2563" max="2563" width="21" style="157" customWidth="1"/>
    <col min="2564" max="2564" width="25.28515625" style="157" customWidth="1"/>
    <col min="2565" max="2566" width="9.140625" style="157"/>
    <col min="2567" max="2567" width="34.7109375" style="157" customWidth="1"/>
    <col min="2568" max="2818" width="9.140625" style="157"/>
    <col min="2819" max="2819" width="21" style="157" customWidth="1"/>
    <col min="2820" max="2820" width="25.28515625" style="157" customWidth="1"/>
    <col min="2821" max="2822" width="9.140625" style="157"/>
    <col min="2823" max="2823" width="34.7109375" style="157" customWidth="1"/>
    <col min="2824" max="3074" width="9.140625" style="157"/>
    <col min="3075" max="3075" width="21" style="157" customWidth="1"/>
    <col min="3076" max="3076" width="25.28515625" style="157" customWidth="1"/>
    <col min="3077" max="3078" width="9.140625" style="157"/>
    <col min="3079" max="3079" width="34.7109375" style="157" customWidth="1"/>
    <col min="3080" max="3330" width="9.140625" style="157"/>
    <col min="3331" max="3331" width="21" style="157" customWidth="1"/>
    <col min="3332" max="3332" width="25.28515625" style="157" customWidth="1"/>
    <col min="3333" max="3334" width="9.140625" style="157"/>
    <col min="3335" max="3335" width="34.7109375" style="157" customWidth="1"/>
    <col min="3336" max="3586" width="9.140625" style="157"/>
    <col min="3587" max="3587" width="21" style="157" customWidth="1"/>
    <col min="3588" max="3588" width="25.28515625" style="157" customWidth="1"/>
    <col min="3589" max="3590" width="9.140625" style="157"/>
    <col min="3591" max="3591" width="34.7109375" style="157" customWidth="1"/>
    <col min="3592" max="3842" width="9.140625" style="157"/>
    <col min="3843" max="3843" width="21" style="157" customWidth="1"/>
    <col min="3844" max="3844" width="25.28515625" style="157" customWidth="1"/>
    <col min="3845" max="3846" width="9.140625" style="157"/>
    <col min="3847" max="3847" width="34.7109375" style="157" customWidth="1"/>
    <col min="3848" max="4098" width="9.140625" style="157"/>
    <col min="4099" max="4099" width="21" style="157" customWidth="1"/>
    <col min="4100" max="4100" width="25.28515625" style="157" customWidth="1"/>
    <col min="4101" max="4102" width="9.140625" style="157"/>
    <col min="4103" max="4103" width="34.7109375" style="157" customWidth="1"/>
    <col min="4104" max="4354" width="9.140625" style="157"/>
    <col min="4355" max="4355" width="21" style="157" customWidth="1"/>
    <col min="4356" max="4356" width="25.28515625" style="157" customWidth="1"/>
    <col min="4357" max="4358" width="9.140625" style="157"/>
    <col min="4359" max="4359" width="34.7109375" style="157" customWidth="1"/>
    <col min="4360" max="4610" width="9.140625" style="157"/>
    <col min="4611" max="4611" width="21" style="157" customWidth="1"/>
    <col min="4612" max="4612" width="25.28515625" style="157" customWidth="1"/>
    <col min="4613" max="4614" width="9.140625" style="157"/>
    <col min="4615" max="4615" width="34.7109375" style="157" customWidth="1"/>
    <col min="4616" max="4866" width="9.140625" style="157"/>
    <col min="4867" max="4867" width="21" style="157" customWidth="1"/>
    <col min="4868" max="4868" width="25.28515625" style="157" customWidth="1"/>
    <col min="4869" max="4870" width="9.140625" style="157"/>
    <col min="4871" max="4871" width="34.7109375" style="157" customWidth="1"/>
    <col min="4872" max="5122" width="9.140625" style="157"/>
    <col min="5123" max="5123" width="21" style="157" customWidth="1"/>
    <col min="5124" max="5124" width="25.28515625" style="157" customWidth="1"/>
    <col min="5125" max="5126" width="9.140625" style="157"/>
    <col min="5127" max="5127" width="34.7109375" style="157" customWidth="1"/>
    <col min="5128" max="5378" width="9.140625" style="157"/>
    <col min="5379" max="5379" width="21" style="157" customWidth="1"/>
    <col min="5380" max="5380" width="25.28515625" style="157" customWidth="1"/>
    <col min="5381" max="5382" width="9.140625" style="157"/>
    <col min="5383" max="5383" width="34.7109375" style="157" customWidth="1"/>
    <col min="5384" max="5634" width="9.140625" style="157"/>
    <col min="5635" max="5635" width="21" style="157" customWidth="1"/>
    <col min="5636" max="5636" width="25.28515625" style="157" customWidth="1"/>
    <col min="5637" max="5638" width="9.140625" style="157"/>
    <col min="5639" max="5639" width="34.7109375" style="157" customWidth="1"/>
    <col min="5640" max="5890" width="9.140625" style="157"/>
    <col min="5891" max="5891" width="21" style="157" customWidth="1"/>
    <col min="5892" max="5892" width="25.28515625" style="157" customWidth="1"/>
    <col min="5893" max="5894" width="9.140625" style="157"/>
    <col min="5895" max="5895" width="34.7109375" style="157" customWidth="1"/>
    <col min="5896" max="6146" width="9.140625" style="157"/>
    <col min="6147" max="6147" width="21" style="157" customWidth="1"/>
    <col min="6148" max="6148" width="25.28515625" style="157" customWidth="1"/>
    <col min="6149" max="6150" width="9.140625" style="157"/>
    <col min="6151" max="6151" width="34.7109375" style="157" customWidth="1"/>
    <col min="6152" max="6402" width="9.140625" style="157"/>
    <col min="6403" max="6403" width="21" style="157" customWidth="1"/>
    <col min="6404" max="6404" width="25.28515625" style="157" customWidth="1"/>
    <col min="6405" max="6406" width="9.140625" style="157"/>
    <col min="6407" max="6407" width="34.7109375" style="157" customWidth="1"/>
    <col min="6408" max="6658" width="9.140625" style="157"/>
    <col min="6659" max="6659" width="21" style="157" customWidth="1"/>
    <col min="6660" max="6660" width="25.28515625" style="157" customWidth="1"/>
    <col min="6661" max="6662" width="9.140625" style="157"/>
    <col min="6663" max="6663" width="34.7109375" style="157" customWidth="1"/>
    <col min="6664" max="6914" width="9.140625" style="157"/>
    <col min="6915" max="6915" width="21" style="157" customWidth="1"/>
    <col min="6916" max="6916" width="25.28515625" style="157" customWidth="1"/>
    <col min="6917" max="6918" width="9.140625" style="157"/>
    <col min="6919" max="6919" width="34.7109375" style="157" customWidth="1"/>
    <col min="6920" max="7170" width="9.140625" style="157"/>
    <col min="7171" max="7171" width="21" style="157" customWidth="1"/>
    <col min="7172" max="7172" width="25.28515625" style="157" customWidth="1"/>
    <col min="7173" max="7174" width="9.140625" style="157"/>
    <col min="7175" max="7175" width="34.7109375" style="157" customWidth="1"/>
    <col min="7176" max="7426" width="9.140625" style="157"/>
    <col min="7427" max="7427" width="21" style="157" customWidth="1"/>
    <col min="7428" max="7428" width="25.28515625" style="157" customWidth="1"/>
    <col min="7429" max="7430" width="9.140625" style="157"/>
    <col min="7431" max="7431" width="34.7109375" style="157" customWidth="1"/>
    <col min="7432" max="7682" width="9.140625" style="157"/>
    <col min="7683" max="7683" width="21" style="157" customWidth="1"/>
    <col min="7684" max="7684" width="25.28515625" style="157" customWidth="1"/>
    <col min="7685" max="7686" width="9.140625" style="157"/>
    <col min="7687" max="7687" width="34.7109375" style="157" customWidth="1"/>
    <col min="7688" max="7938" width="9.140625" style="157"/>
    <col min="7939" max="7939" width="21" style="157" customWidth="1"/>
    <col min="7940" max="7940" width="25.28515625" style="157" customWidth="1"/>
    <col min="7941" max="7942" width="9.140625" style="157"/>
    <col min="7943" max="7943" width="34.7109375" style="157" customWidth="1"/>
    <col min="7944" max="8194" width="9.140625" style="157"/>
    <col min="8195" max="8195" width="21" style="157" customWidth="1"/>
    <col min="8196" max="8196" width="25.28515625" style="157" customWidth="1"/>
    <col min="8197" max="8198" width="9.140625" style="157"/>
    <col min="8199" max="8199" width="34.7109375" style="157" customWidth="1"/>
    <col min="8200" max="8450" width="9.140625" style="157"/>
    <col min="8451" max="8451" width="21" style="157" customWidth="1"/>
    <col min="8452" max="8452" width="25.28515625" style="157" customWidth="1"/>
    <col min="8453" max="8454" width="9.140625" style="157"/>
    <col min="8455" max="8455" width="34.7109375" style="157" customWidth="1"/>
    <col min="8456" max="8706" width="9.140625" style="157"/>
    <col min="8707" max="8707" width="21" style="157" customWidth="1"/>
    <col min="8708" max="8708" width="25.28515625" style="157" customWidth="1"/>
    <col min="8709" max="8710" width="9.140625" style="157"/>
    <col min="8711" max="8711" width="34.7109375" style="157" customWidth="1"/>
    <col min="8712" max="8962" width="9.140625" style="157"/>
    <col min="8963" max="8963" width="21" style="157" customWidth="1"/>
    <col min="8964" max="8964" width="25.28515625" style="157" customWidth="1"/>
    <col min="8965" max="8966" width="9.140625" style="157"/>
    <col min="8967" max="8967" width="34.7109375" style="157" customWidth="1"/>
    <col min="8968" max="9218" width="9.140625" style="157"/>
    <col min="9219" max="9219" width="21" style="157" customWidth="1"/>
    <col min="9220" max="9220" width="25.28515625" style="157" customWidth="1"/>
    <col min="9221" max="9222" width="9.140625" style="157"/>
    <col min="9223" max="9223" width="34.7109375" style="157" customWidth="1"/>
    <col min="9224" max="9474" width="9.140625" style="157"/>
    <col min="9475" max="9475" width="21" style="157" customWidth="1"/>
    <col min="9476" max="9476" width="25.28515625" style="157" customWidth="1"/>
    <col min="9477" max="9478" width="9.140625" style="157"/>
    <col min="9479" max="9479" width="34.7109375" style="157" customWidth="1"/>
    <col min="9480" max="9730" width="9.140625" style="157"/>
    <col min="9731" max="9731" width="21" style="157" customWidth="1"/>
    <col min="9732" max="9732" width="25.28515625" style="157" customWidth="1"/>
    <col min="9733" max="9734" width="9.140625" style="157"/>
    <col min="9735" max="9735" width="34.7109375" style="157" customWidth="1"/>
    <col min="9736" max="9986" width="9.140625" style="157"/>
    <col min="9987" max="9987" width="21" style="157" customWidth="1"/>
    <col min="9988" max="9988" width="25.28515625" style="157" customWidth="1"/>
    <col min="9989" max="9990" width="9.140625" style="157"/>
    <col min="9991" max="9991" width="34.7109375" style="157" customWidth="1"/>
    <col min="9992" max="10242" width="9.140625" style="157"/>
    <col min="10243" max="10243" width="21" style="157" customWidth="1"/>
    <col min="10244" max="10244" width="25.28515625" style="157" customWidth="1"/>
    <col min="10245" max="10246" width="9.140625" style="157"/>
    <col min="10247" max="10247" width="34.7109375" style="157" customWidth="1"/>
    <col min="10248" max="10498" width="9.140625" style="157"/>
    <col min="10499" max="10499" width="21" style="157" customWidth="1"/>
    <col min="10500" max="10500" width="25.28515625" style="157" customWidth="1"/>
    <col min="10501" max="10502" width="9.140625" style="157"/>
    <col min="10503" max="10503" width="34.7109375" style="157" customWidth="1"/>
    <col min="10504" max="10754" width="9.140625" style="157"/>
    <col min="10755" max="10755" width="21" style="157" customWidth="1"/>
    <col min="10756" max="10756" width="25.28515625" style="157" customWidth="1"/>
    <col min="10757" max="10758" width="9.140625" style="157"/>
    <col min="10759" max="10759" width="34.7109375" style="157" customWidth="1"/>
    <col min="10760" max="11010" width="9.140625" style="157"/>
    <col min="11011" max="11011" width="21" style="157" customWidth="1"/>
    <col min="11012" max="11012" width="25.28515625" style="157" customWidth="1"/>
    <col min="11013" max="11014" width="9.140625" style="157"/>
    <col min="11015" max="11015" width="34.7109375" style="157" customWidth="1"/>
    <col min="11016" max="11266" width="9.140625" style="157"/>
    <col min="11267" max="11267" width="21" style="157" customWidth="1"/>
    <col min="11268" max="11268" width="25.28515625" style="157" customWidth="1"/>
    <col min="11269" max="11270" width="9.140625" style="157"/>
    <col min="11271" max="11271" width="34.7109375" style="157" customWidth="1"/>
    <col min="11272" max="11522" width="9.140625" style="157"/>
    <col min="11523" max="11523" width="21" style="157" customWidth="1"/>
    <col min="11524" max="11524" width="25.28515625" style="157" customWidth="1"/>
    <col min="11525" max="11526" width="9.140625" style="157"/>
    <col min="11527" max="11527" width="34.7109375" style="157" customWidth="1"/>
    <col min="11528" max="11778" width="9.140625" style="157"/>
    <col min="11779" max="11779" width="21" style="157" customWidth="1"/>
    <col min="11780" max="11780" width="25.28515625" style="157" customWidth="1"/>
    <col min="11781" max="11782" width="9.140625" style="157"/>
    <col min="11783" max="11783" width="34.7109375" style="157" customWidth="1"/>
    <col min="11784" max="12034" width="9.140625" style="157"/>
    <col min="12035" max="12035" width="21" style="157" customWidth="1"/>
    <col min="12036" max="12036" width="25.28515625" style="157" customWidth="1"/>
    <col min="12037" max="12038" width="9.140625" style="157"/>
    <col min="12039" max="12039" width="34.7109375" style="157" customWidth="1"/>
    <col min="12040" max="12290" width="9.140625" style="157"/>
    <col min="12291" max="12291" width="21" style="157" customWidth="1"/>
    <col min="12292" max="12292" width="25.28515625" style="157" customWidth="1"/>
    <col min="12293" max="12294" width="9.140625" style="157"/>
    <col min="12295" max="12295" width="34.7109375" style="157" customWidth="1"/>
    <col min="12296" max="12546" width="9.140625" style="157"/>
    <col min="12547" max="12547" width="21" style="157" customWidth="1"/>
    <col min="12548" max="12548" width="25.28515625" style="157" customWidth="1"/>
    <col min="12549" max="12550" width="9.140625" style="157"/>
    <col min="12551" max="12551" width="34.7109375" style="157" customWidth="1"/>
    <col min="12552" max="12802" width="9.140625" style="157"/>
    <col min="12803" max="12803" width="21" style="157" customWidth="1"/>
    <col min="12804" max="12804" width="25.28515625" style="157" customWidth="1"/>
    <col min="12805" max="12806" width="9.140625" style="157"/>
    <col min="12807" max="12807" width="34.7109375" style="157" customWidth="1"/>
    <col min="12808" max="13058" width="9.140625" style="157"/>
    <col min="13059" max="13059" width="21" style="157" customWidth="1"/>
    <col min="13060" max="13060" width="25.28515625" style="157" customWidth="1"/>
    <col min="13061" max="13062" width="9.140625" style="157"/>
    <col min="13063" max="13063" width="34.7109375" style="157" customWidth="1"/>
    <col min="13064" max="13314" width="9.140625" style="157"/>
    <col min="13315" max="13315" width="21" style="157" customWidth="1"/>
    <col min="13316" max="13316" width="25.28515625" style="157" customWidth="1"/>
    <col min="13317" max="13318" width="9.140625" style="157"/>
    <col min="13319" max="13319" width="34.7109375" style="157" customWidth="1"/>
    <col min="13320" max="13570" width="9.140625" style="157"/>
    <col min="13571" max="13571" width="21" style="157" customWidth="1"/>
    <col min="13572" max="13572" width="25.28515625" style="157" customWidth="1"/>
    <col min="13573" max="13574" width="9.140625" style="157"/>
    <col min="13575" max="13575" width="34.7109375" style="157" customWidth="1"/>
    <col min="13576" max="13826" width="9.140625" style="157"/>
    <col min="13827" max="13827" width="21" style="157" customWidth="1"/>
    <col min="13828" max="13828" width="25.28515625" style="157" customWidth="1"/>
    <col min="13829" max="13830" width="9.140625" style="157"/>
    <col min="13831" max="13831" width="34.7109375" style="157" customWidth="1"/>
    <col min="13832" max="14082" width="9.140625" style="157"/>
    <col min="14083" max="14083" width="21" style="157" customWidth="1"/>
    <col min="14084" max="14084" width="25.28515625" style="157" customWidth="1"/>
    <col min="14085" max="14086" width="9.140625" style="157"/>
    <col min="14087" max="14087" width="34.7109375" style="157" customWidth="1"/>
    <col min="14088" max="14338" width="9.140625" style="157"/>
    <col min="14339" max="14339" width="21" style="157" customWidth="1"/>
    <col min="14340" max="14340" width="25.28515625" style="157" customWidth="1"/>
    <col min="14341" max="14342" width="9.140625" style="157"/>
    <col min="14343" max="14343" width="34.7109375" style="157" customWidth="1"/>
    <col min="14344" max="14594" width="9.140625" style="157"/>
    <col min="14595" max="14595" width="21" style="157" customWidth="1"/>
    <col min="14596" max="14596" width="25.28515625" style="157" customWidth="1"/>
    <col min="14597" max="14598" width="9.140625" style="157"/>
    <col min="14599" max="14599" width="34.7109375" style="157" customWidth="1"/>
    <col min="14600" max="14850" width="9.140625" style="157"/>
    <col min="14851" max="14851" width="21" style="157" customWidth="1"/>
    <col min="14852" max="14852" width="25.28515625" style="157" customWidth="1"/>
    <col min="14853" max="14854" width="9.140625" style="157"/>
    <col min="14855" max="14855" width="34.7109375" style="157" customWidth="1"/>
    <col min="14856" max="15106" width="9.140625" style="157"/>
    <col min="15107" max="15107" width="21" style="157" customWidth="1"/>
    <col min="15108" max="15108" width="25.28515625" style="157" customWidth="1"/>
    <col min="15109" max="15110" width="9.140625" style="157"/>
    <col min="15111" max="15111" width="34.7109375" style="157" customWidth="1"/>
    <col min="15112" max="15362" width="9.140625" style="157"/>
    <col min="15363" max="15363" width="21" style="157" customWidth="1"/>
    <col min="15364" max="15364" width="25.28515625" style="157" customWidth="1"/>
    <col min="15365" max="15366" width="9.140625" style="157"/>
    <col min="15367" max="15367" width="34.7109375" style="157" customWidth="1"/>
    <col min="15368" max="15618" width="9.140625" style="157"/>
    <col min="15619" max="15619" width="21" style="157" customWidth="1"/>
    <col min="15620" max="15620" width="25.28515625" style="157" customWidth="1"/>
    <col min="15621" max="15622" width="9.140625" style="157"/>
    <col min="15623" max="15623" width="34.7109375" style="157" customWidth="1"/>
    <col min="15624" max="15874" width="9.140625" style="157"/>
    <col min="15875" max="15875" width="21" style="157" customWidth="1"/>
    <col min="15876" max="15876" width="25.28515625" style="157" customWidth="1"/>
    <col min="15877" max="15878" width="9.140625" style="157"/>
    <col min="15879" max="15879" width="34.7109375" style="157" customWidth="1"/>
    <col min="15880" max="16130" width="9.140625" style="157"/>
    <col min="16131" max="16131" width="21" style="157" customWidth="1"/>
    <col min="16132" max="16132" width="25.28515625" style="157" customWidth="1"/>
    <col min="16133" max="16134" width="9.140625" style="157"/>
    <col min="16135" max="16135" width="34.7109375" style="157" customWidth="1"/>
    <col min="16136" max="16384" width="9.140625" style="157"/>
  </cols>
  <sheetData>
    <row r="1" spans="1:7" ht="13.5" thickBot="1"/>
    <row r="2" spans="1:7" ht="72.75" customHeight="1" thickBot="1">
      <c r="B2" s="268" t="s">
        <v>115</v>
      </c>
      <c r="C2" s="269"/>
      <c r="D2" s="269"/>
      <c r="E2" s="269"/>
      <c r="F2" s="269"/>
      <c r="G2" s="270"/>
    </row>
    <row r="3" spans="1:7" ht="13.5" thickBot="1">
      <c r="B3" s="271" t="s">
        <v>326</v>
      </c>
      <c r="C3" s="272"/>
      <c r="D3" s="272"/>
      <c r="E3" s="272"/>
      <c r="F3" s="272"/>
      <c r="G3" s="273"/>
    </row>
    <row r="4" spans="1:7">
      <c r="B4" s="158" t="s">
        <v>294</v>
      </c>
      <c r="C4" s="274" t="s">
        <v>325</v>
      </c>
      <c r="D4" s="274"/>
      <c r="E4" s="274"/>
      <c r="F4" s="274"/>
      <c r="G4" s="275"/>
    </row>
    <row r="5" spans="1:7">
      <c r="B5" s="276" t="s">
        <v>328</v>
      </c>
      <c r="C5" s="277"/>
      <c r="D5" s="277"/>
      <c r="E5" s="277"/>
      <c r="F5" s="277"/>
      <c r="G5" s="278"/>
    </row>
    <row r="6" spans="1:7">
      <c r="A6" s="159"/>
      <c r="B6" s="279" t="s">
        <v>327</v>
      </c>
      <c r="C6" s="280"/>
      <c r="D6" s="280"/>
      <c r="E6" s="280"/>
      <c r="F6" s="280"/>
      <c r="G6" s="281"/>
    </row>
    <row r="7" spans="1:7">
      <c r="B7" s="160"/>
      <c r="C7" s="264" t="s">
        <v>295</v>
      </c>
      <c r="D7" s="265"/>
      <c r="E7" s="161" t="s">
        <v>296</v>
      </c>
      <c r="F7" s="266" t="s">
        <v>297</v>
      </c>
      <c r="G7" s="267"/>
    </row>
    <row r="8" spans="1:7">
      <c r="B8" s="160"/>
      <c r="C8" s="282" t="s">
        <v>298</v>
      </c>
      <c r="D8" s="283"/>
      <c r="E8" s="162" t="s">
        <v>299</v>
      </c>
      <c r="F8" s="284">
        <v>3.9E-2</v>
      </c>
      <c r="G8" s="285"/>
    </row>
    <row r="9" spans="1:7">
      <c r="B9" s="160"/>
      <c r="C9" s="282" t="s">
        <v>300</v>
      </c>
      <c r="D9" s="283"/>
      <c r="E9" s="162" t="s">
        <v>301</v>
      </c>
      <c r="F9" s="284">
        <v>8.7499999999999994E-2</v>
      </c>
      <c r="G9" s="285"/>
    </row>
    <row r="10" spans="1:7">
      <c r="B10" s="160"/>
      <c r="C10" s="282" t="s">
        <v>302</v>
      </c>
      <c r="D10" s="283"/>
      <c r="E10" s="162" t="s">
        <v>303</v>
      </c>
      <c r="F10" s="284">
        <v>1.12E-2</v>
      </c>
      <c r="G10" s="285"/>
    </row>
    <row r="11" spans="1:7">
      <c r="B11" s="160"/>
      <c r="C11" s="282" t="s">
        <v>304</v>
      </c>
      <c r="D11" s="283"/>
      <c r="E11" s="162" t="s">
        <v>305</v>
      </c>
      <c r="F11" s="284">
        <v>3.2000000000000002E-3</v>
      </c>
      <c r="G11" s="285"/>
    </row>
    <row r="12" spans="1:7">
      <c r="B12" s="160"/>
      <c r="C12" s="282" t="s">
        <v>306</v>
      </c>
      <c r="D12" s="283"/>
      <c r="E12" s="162" t="s">
        <v>307</v>
      </c>
      <c r="F12" s="284">
        <v>2.3E-3</v>
      </c>
      <c r="G12" s="285"/>
    </row>
    <row r="13" spans="1:7">
      <c r="B13" s="160"/>
      <c r="C13" s="282" t="s">
        <v>308</v>
      </c>
      <c r="D13" s="283"/>
      <c r="E13" s="162" t="s">
        <v>309</v>
      </c>
      <c r="F13" s="284">
        <v>9.7000000000000003E-3</v>
      </c>
      <c r="G13" s="285"/>
    </row>
    <row r="14" spans="1:7">
      <c r="B14" s="160"/>
      <c r="C14" s="282" t="s">
        <v>310</v>
      </c>
      <c r="D14" s="283"/>
      <c r="E14" s="162" t="s">
        <v>311</v>
      </c>
      <c r="F14" s="284">
        <v>8.6499999999999994E-2</v>
      </c>
      <c r="G14" s="285"/>
    </row>
    <row r="15" spans="1:7">
      <c r="B15" s="160"/>
      <c r="C15" s="282" t="s">
        <v>312</v>
      </c>
      <c r="D15" s="283"/>
      <c r="E15" s="162" t="s">
        <v>312</v>
      </c>
      <c r="F15" s="284">
        <v>0.05</v>
      </c>
      <c r="G15" s="285"/>
    </row>
    <row r="16" spans="1:7">
      <c r="B16" s="160"/>
      <c r="C16" s="282" t="s">
        <v>313</v>
      </c>
      <c r="D16" s="283"/>
      <c r="E16" s="162" t="s">
        <v>313</v>
      </c>
      <c r="F16" s="284">
        <v>6.4999999999999997E-3</v>
      </c>
      <c r="G16" s="285"/>
    </row>
    <row r="17" spans="1:9">
      <c r="B17" s="160"/>
      <c r="C17" s="282" t="s">
        <v>314</v>
      </c>
      <c r="D17" s="283"/>
      <c r="E17" s="163" t="s">
        <v>314</v>
      </c>
      <c r="F17" s="286">
        <v>0.03</v>
      </c>
      <c r="G17" s="287"/>
    </row>
    <row r="18" spans="1:9">
      <c r="B18" s="160"/>
      <c r="C18" s="282" t="s">
        <v>315</v>
      </c>
      <c r="D18" s="283"/>
      <c r="E18" s="162" t="s">
        <v>316</v>
      </c>
      <c r="F18" s="286">
        <v>4.4999999999999998E-2</v>
      </c>
      <c r="G18" s="287"/>
    </row>
    <row r="19" spans="1:9">
      <c r="B19" s="160"/>
      <c r="C19" s="288" t="s">
        <v>317</v>
      </c>
      <c r="D19" s="289" t="s">
        <v>318</v>
      </c>
      <c r="E19" s="277"/>
      <c r="F19" s="264"/>
      <c r="G19" s="290">
        <v>-1</v>
      </c>
    </row>
    <row r="20" spans="1:9">
      <c r="B20" s="160"/>
      <c r="C20" s="288"/>
      <c r="D20" s="291" t="s">
        <v>319</v>
      </c>
      <c r="E20" s="292"/>
      <c r="F20" s="293"/>
      <c r="G20" s="290"/>
    </row>
    <row r="21" spans="1:9">
      <c r="B21" s="164"/>
      <c r="C21" s="294" t="s">
        <v>320</v>
      </c>
      <c r="D21" s="295"/>
      <c r="E21" s="284">
        <f>(1+(F8+F11+F12+F13))*(1+F10)*(1+F9)</f>
        <v>1.159282656</v>
      </c>
      <c r="F21" s="284"/>
      <c r="G21" s="285"/>
    </row>
    <row r="22" spans="1:9">
      <c r="B22" s="165"/>
      <c r="C22" s="294" t="s">
        <v>321</v>
      </c>
      <c r="D22" s="295"/>
      <c r="E22" s="284">
        <f>(1-(F14+F18))</f>
        <v>0.86850000000000005</v>
      </c>
      <c r="F22" s="284"/>
      <c r="G22" s="285"/>
    </row>
    <row r="23" spans="1:9" ht="13.5" thickBot="1">
      <c r="B23" s="166"/>
      <c r="C23" s="296" t="s">
        <v>322</v>
      </c>
      <c r="D23" s="297"/>
      <c r="E23" s="298">
        <f>(E21/E22)-1</f>
        <v>0.33481019689119162</v>
      </c>
      <c r="F23" s="298"/>
      <c r="G23" s="299"/>
    </row>
    <row r="25" spans="1:9">
      <c r="A25" s="300" t="s">
        <v>338</v>
      </c>
      <c r="B25" s="300"/>
      <c r="C25" s="300"/>
      <c r="D25" s="300"/>
      <c r="E25" s="300"/>
      <c r="F25" s="300"/>
      <c r="G25" s="300"/>
      <c r="H25" s="300"/>
      <c r="I25" s="167"/>
    </row>
    <row r="26" spans="1:9">
      <c r="B26" s="168"/>
      <c r="C26" s="168"/>
      <c r="D26" s="168"/>
      <c r="E26" s="168"/>
      <c r="F26" s="169"/>
      <c r="G26" s="167"/>
      <c r="H26" s="167"/>
      <c r="I26" s="167"/>
    </row>
    <row r="27" spans="1:9">
      <c r="B27" s="170"/>
      <c r="C27" s="168"/>
      <c r="D27" s="168"/>
      <c r="E27" s="168"/>
      <c r="F27" s="169"/>
      <c r="G27" s="167"/>
      <c r="H27" s="167"/>
      <c r="I27" s="167"/>
    </row>
    <row r="28" spans="1:9">
      <c r="A28" s="171" t="s">
        <v>323</v>
      </c>
      <c r="B28" s="168"/>
      <c r="C28" s="168"/>
      <c r="D28" s="168"/>
      <c r="E28" s="169"/>
      <c r="F28" s="167"/>
      <c r="G28" s="167"/>
      <c r="H28" s="167"/>
      <c r="I28" s="172"/>
    </row>
    <row r="29" spans="1:9">
      <c r="A29" s="301" t="s">
        <v>324</v>
      </c>
      <c r="B29" s="301"/>
      <c r="C29" s="301"/>
      <c r="D29" s="301"/>
      <c r="E29" s="301"/>
      <c r="F29" s="301"/>
      <c r="G29" s="301"/>
      <c r="H29" s="301"/>
      <c r="I29" s="173"/>
    </row>
    <row r="30" spans="1:9">
      <c r="A30" s="302" t="s">
        <v>235</v>
      </c>
      <c r="B30" s="302"/>
      <c r="C30" s="302"/>
      <c r="D30" s="302"/>
      <c r="E30" s="302"/>
      <c r="F30" s="302"/>
      <c r="G30" s="302"/>
      <c r="H30" s="302"/>
      <c r="I30" s="174"/>
    </row>
    <row r="31" spans="1:9">
      <c r="A31" s="303" t="s">
        <v>192</v>
      </c>
      <c r="B31" s="303"/>
      <c r="C31" s="303"/>
      <c r="D31" s="303"/>
      <c r="E31" s="303"/>
      <c r="F31" s="303"/>
      <c r="G31" s="303"/>
      <c r="H31" s="303"/>
      <c r="I31" s="175"/>
    </row>
    <row r="32" spans="1:9">
      <c r="A32" s="300" t="s">
        <v>236</v>
      </c>
      <c r="B32" s="300"/>
      <c r="C32" s="300"/>
      <c r="D32" s="300"/>
      <c r="E32" s="300"/>
      <c r="F32" s="300"/>
      <c r="G32" s="300"/>
      <c r="H32" s="300"/>
    </row>
  </sheetData>
  <mergeCells count="44">
    <mergeCell ref="A25:H25"/>
    <mergeCell ref="A29:H29"/>
    <mergeCell ref="A30:H30"/>
    <mergeCell ref="A31:H31"/>
    <mergeCell ref="A32:H32"/>
    <mergeCell ref="C21:D21"/>
    <mergeCell ref="E21:G21"/>
    <mergeCell ref="C22:D22"/>
    <mergeCell ref="E22:G22"/>
    <mergeCell ref="C23:D23"/>
    <mergeCell ref="E23:G23"/>
    <mergeCell ref="C17:D17"/>
    <mergeCell ref="F17:G17"/>
    <mergeCell ref="C18:D18"/>
    <mergeCell ref="F18:G18"/>
    <mergeCell ref="C19:C20"/>
    <mergeCell ref="D19:F19"/>
    <mergeCell ref="G19:G20"/>
    <mergeCell ref="D20:F20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C7:D7"/>
    <mergeCell ref="F7:G7"/>
    <mergeCell ref="B2:G2"/>
    <mergeCell ref="B3:G3"/>
    <mergeCell ref="C4:G4"/>
    <mergeCell ref="B5:G5"/>
    <mergeCell ref="B6:G6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  <legacyDrawing r:id="rId2"/>
  <oleObjects>
    <oleObject shapeId="921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Orcamentaria</vt:lpstr>
      <vt:lpstr>Memoria de calculo</vt:lpstr>
      <vt:lpstr>BDI</vt:lpstr>
      <vt:lpstr>'Memoria de calculo'!Area_de_impressao</vt:lpstr>
      <vt:lpstr>'Planilha Orcamentaria'!Area_de_impressao</vt:lpstr>
      <vt:lpstr>'Memoria de calculo'!Titulos_de_impressao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User</cp:lastModifiedBy>
  <cp:lastPrinted>2020-07-10T13:01:11Z</cp:lastPrinted>
  <dcterms:created xsi:type="dcterms:W3CDTF">2006-09-22T13:55:22Z</dcterms:created>
  <dcterms:modified xsi:type="dcterms:W3CDTF">2020-07-15T18:07:29Z</dcterms:modified>
</cp:coreProperties>
</file>