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wmf" ContentType="image/x-wmf"/>
  <Override PartName="/xl/embeddings/oleObject3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60" windowWidth="20490" windowHeight="7695" tabRatio="766"/>
  </bookViews>
  <sheets>
    <sheet name="Composição BDI" sheetId="10" r:id="rId1"/>
    <sheet name="Planilha Orcamentária" sheetId="6" state="hidden" r:id="rId2"/>
    <sheet name="O Q foi PAGO" sheetId="11" state="hidden" r:id="rId3"/>
    <sheet name="Planilha" sheetId="12" r:id="rId4"/>
    <sheet name="Cronograma Físico-Financeiro" sheetId="7" r:id="rId5"/>
    <sheet name="O Q foi PAGO (2)" sheetId="13" state="hidden" r:id="rId6"/>
    <sheet name="Plan2" sheetId="15" r:id="rId7"/>
  </sheets>
  <definedNames>
    <definedName name="_xlnm.Print_Area" localSheetId="0">'Composição BDI'!$A$1:$E$24</definedName>
    <definedName name="_xlnm.Print_Area" localSheetId="4">'Cronograma Físico-Financeiro'!$A$1:$J$52</definedName>
    <definedName name="_xlnm.Print_Area" localSheetId="6">Plan2!$A$1:$I$154</definedName>
    <definedName name="_xlnm.Print_Area" localSheetId="3">Planilha!$A$1:$H$136</definedName>
    <definedName name="_xlnm.Print_Area" localSheetId="1">'Planilha Orcamentária'!$A$1:$H$62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"$#REF!.$A$1:$B$3278"</definedName>
    <definedName name="Excel_BuiltIn__FilterDatabase_6_1">NA()</definedName>
    <definedName name="Excel_BuiltIn_Print_Area">"$#REF!.$B$1:$N$9"</definedName>
    <definedName name="Excel_BuiltIn_Print_Titles">"$#REF!.$A$1:$AMJ$9"</definedName>
    <definedName name="_xlnm.Print_Titles" localSheetId="3">Planilha!$1:$11</definedName>
    <definedName name="_xlnm.Print_Titles" localSheetId="1">'Planilha Orcamentária'!$1:$12</definedName>
  </definedNames>
  <calcPr calcId="124519"/>
</workbook>
</file>

<file path=xl/calcChain.xml><?xml version="1.0" encoding="utf-8"?>
<calcChain xmlns="http://schemas.openxmlformats.org/spreadsheetml/2006/main">
  <c r="G5" i="7"/>
  <c r="J42"/>
  <c r="J40"/>
  <c r="J38"/>
  <c r="J36"/>
  <c r="J30"/>
  <c r="J20"/>
  <c r="J18"/>
  <c r="J16"/>
  <c r="J14"/>
  <c r="I42"/>
  <c r="I40"/>
  <c r="I38"/>
  <c r="I36"/>
  <c r="F145" i="15"/>
  <c r="G145"/>
  <c r="H145" s="1"/>
  <c r="I145" s="1"/>
  <c r="F144"/>
  <c r="G144"/>
  <c r="H144" s="1"/>
  <c r="I144" s="1"/>
  <c r="F143"/>
  <c r="G143"/>
  <c r="H143" s="1"/>
  <c r="I143" s="1"/>
  <c r="F142"/>
  <c r="G142"/>
  <c r="H142" s="1"/>
  <c r="I142" s="1"/>
  <c r="F141"/>
  <c r="G141"/>
  <c r="H141" s="1"/>
  <c r="I141" s="1"/>
  <c r="F140"/>
  <c r="G140"/>
  <c r="H140" s="1"/>
  <c r="I140" s="1"/>
  <c r="F139"/>
  <c r="G139"/>
  <c r="H139" s="1"/>
  <c r="I139" s="1"/>
  <c r="F138"/>
  <c r="G138"/>
  <c r="H138" s="1"/>
  <c r="I138" s="1"/>
  <c r="F137"/>
  <c r="G137"/>
  <c r="H137" s="1"/>
  <c r="I137" s="1"/>
  <c r="F136"/>
  <c r="G136"/>
  <c r="H136" s="1"/>
  <c r="I136" s="1"/>
  <c r="F135"/>
  <c r="G135"/>
  <c r="H135" s="1"/>
  <c r="I135" s="1"/>
  <c r="F134"/>
  <c r="G134"/>
  <c r="F127"/>
  <c r="H127" s="1"/>
  <c r="I127" s="1"/>
  <c r="F126"/>
  <c r="H126" s="1"/>
  <c r="I126" s="1"/>
  <c r="F125"/>
  <c r="H125"/>
  <c r="I125" s="1"/>
  <c r="F124"/>
  <c r="H124"/>
  <c r="I124"/>
  <c r="F123"/>
  <c r="H123" s="1"/>
  <c r="I123" s="1"/>
  <c r="F122"/>
  <c r="H122" s="1"/>
  <c r="I122" s="1"/>
  <c r="F121"/>
  <c r="H121"/>
  <c r="I121" s="1"/>
  <c r="F120"/>
  <c r="H120"/>
  <c r="I120"/>
  <c r="F119"/>
  <c r="H119" s="1"/>
  <c r="I119" s="1"/>
  <c r="F118"/>
  <c r="H118" s="1"/>
  <c r="I118" s="1"/>
  <c r="F117"/>
  <c r="H117"/>
  <c r="I117" s="1"/>
  <c r="F116"/>
  <c r="H116" s="1"/>
  <c r="F109"/>
  <c r="H109" s="1"/>
  <c r="I109" s="1"/>
  <c r="H108"/>
  <c r="I108" s="1"/>
  <c r="F108"/>
  <c r="F107"/>
  <c r="H107"/>
  <c r="I107" s="1"/>
  <c r="F106"/>
  <c r="H106"/>
  <c r="I106"/>
  <c r="F105"/>
  <c r="H105" s="1"/>
  <c r="I105" s="1"/>
  <c r="H104"/>
  <c r="I104" s="1"/>
  <c r="F104"/>
  <c r="F103"/>
  <c r="H103"/>
  <c r="I103" s="1"/>
  <c r="F102"/>
  <c r="H102"/>
  <c r="I102"/>
  <c r="F101"/>
  <c r="H101" s="1"/>
  <c r="I101" s="1"/>
  <c r="H100"/>
  <c r="I100" s="1"/>
  <c r="F100"/>
  <c r="F99"/>
  <c r="H99"/>
  <c r="F98"/>
  <c r="H98"/>
  <c r="F91"/>
  <c r="H91" s="1"/>
  <c r="I91" s="1"/>
  <c r="F90"/>
  <c r="H90"/>
  <c r="I90" s="1"/>
  <c r="F89"/>
  <c r="H89"/>
  <c r="I89"/>
  <c r="F88"/>
  <c r="H88" s="1"/>
  <c r="I88" s="1"/>
  <c r="F87"/>
  <c r="H87" s="1"/>
  <c r="I87" s="1"/>
  <c r="F86"/>
  <c r="H86"/>
  <c r="I86" s="1"/>
  <c r="F85"/>
  <c r="H85"/>
  <c r="I85"/>
  <c r="F84"/>
  <c r="H84" s="1"/>
  <c r="I84" s="1"/>
  <c r="F83"/>
  <c r="H83" s="1"/>
  <c r="I83" s="1"/>
  <c r="F82"/>
  <c r="H82"/>
  <c r="I82" s="1"/>
  <c r="F81"/>
  <c r="H81"/>
  <c r="I81"/>
  <c r="F80"/>
  <c r="H80" s="1"/>
  <c r="C74"/>
  <c r="F73"/>
  <c r="G73"/>
  <c r="I73"/>
  <c r="F72"/>
  <c r="G72" s="1"/>
  <c r="I72" s="1"/>
  <c r="G71"/>
  <c r="I71" s="1"/>
  <c r="F71"/>
  <c r="F70"/>
  <c r="G70"/>
  <c r="I70" s="1"/>
  <c r="F69"/>
  <c r="G69"/>
  <c r="I69"/>
  <c r="F68"/>
  <c r="G68" s="1"/>
  <c r="I68" s="1"/>
  <c r="F67"/>
  <c r="G67" s="1"/>
  <c r="I67" s="1"/>
  <c r="F66"/>
  <c r="G66"/>
  <c r="I66" s="1"/>
  <c r="F65"/>
  <c r="G65"/>
  <c r="I65"/>
  <c r="F64"/>
  <c r="G64" s="1"/>
  <c r="I64" s="1"/>
  <c r="I74" s="1"/>
  <c r="F63"/>
  <c r="G63"/>
  <c r="I63"/>
  <c r="F62"/>
  <c r="F74" s="1"/>
  <c r="C56"/>
  <c r="F55"/>
  <c r="H55" s="1"/>
  <c r="I55" s="1"/>
  <c r="F54"/>
  <c r="H54"/>
  <c r="I54" s="1"/>
  <c r="F53"/>
  <c r="H53"/>
  <c r="I53"/>
  <c r="F52"/>
  <c r="H52" s="1"/>
  <c r="I52" s="1"/>
  <c r="F51"/>
  <c r="H51" s="1"/>
  <c r="I51" s="1"/>
  <c r="F50"/>
  <c r="H50"/>
  <c r="I50" s="1"/>
  <c r="F49"/>
  <c r="H49"/>
  <c r="I49"/>
  <c r="F48"/>
  <c r="H48" s="1"/>
  <c r="I48" s="1"/>
  <c r="F47"/>
  <c r="H47" s="1"/>
  <c r="I47" s="1"/>
  <c r="F46"/>
  <c r="F45"/>
  <c r="H45" s="1"/>
  <c r="I45" s="1"/>
  <c r="H44"/>
  <c r="I44" s="1"/>
  <c r="I56" s="1"/>
  <c r="F44"/>
  <c r="E37"/>
  <c r="I37" s="1"/>
  <c r="E36"/>
  <c r="I36" s="1"/>
  <c r="E35"/>
  <c r="I35" s="1"/>
  <c r="E34"/>
  <c r="I34" s="1"/>
  <c r="E33"/>
  <c r="I33" s="1"/>
  <c r="E32"/>
  <c r="I32" s="1"/>
  <c r="E31"/>
  <c r="I31" s="1"/>
  <c r="E30"/>
  <c r="I30" s="1"/>
  <c r="E29"/>
  <c r="I29" s="1"/>
  <c r="E28"/>
  <c r="I28" s="1"/>
  <c r="E27"/>
  <c r="I27" s="1"/>
  <c r="E26"/>
  <c r="C20"/>
  <c r="F19"/>
  <c r="I19"/>
  <c r="F18"/>
  <c r="I18" s="1"/>
  <c r="F17"/>
  <c r="I17"/>
  <c r="F16"/>
  <c r="I16" s="1"/>
  <c r="F15"/>
  <c r="I15"/>
  <c r="F14"/>
  <c r="I14" s="1"/>
  <c r="F13"/>
  <c r="I13"/>
  <c r="F12"/>
  <c r="I12" s="1"/>
  <c r="F11"/>
  <c r="I11"/>
  <c r="F10"/>
  <c r="I10" s="1"/>
  <c r="F9"/>
  <c r="I9"/>
  <c r="F8"/>
  <c r="H125" i="12"/>
  <c r="H124"/>
  <c r="H123"/>
  <c r="H122"/>
  <c r="H121"/>
  <c r="H120"/>
  <c r="H119"/>
  <c r="G118"/>
  <c r="H116"/>
  <c r="H115"/>
  <c r="H114"/>
  <c r="H113"/>
  <c r="H112"/>
  <c r="H111"/>
  <c r="H110"/>
  <c r="G109"/>
  <c r="H107"/>
  <c r="H106"/>
  <c r="H105"/>
  <c r="H104"/>
  <c r="H103"/>
  <c r="H102"/>
  <c r="H101"/>
  <c r="G100"/>
  <c r="H98"/>
  <c r="H97"/>
  <c r="H96"/>
  <c r="H95"/>
  <c r="H94"/>
  <c r="H93"/>
  <c r="H92"/>
  <c r="G91"/>
  <c r="H89"/>
  <c r="H88"/>
  <c r="H87"/>
  <c r="H86"/>
  <c r="H82" s="1"/>
  <c r="D34" i="7" s="1"/>
  <c r="E34" s="1"/>
  <c r="H85" i="12"/>
  <c r="H84"/>
  <c r="H83"/>
  <c r="G82"/>
  <c r="H80"/>
  <c r="H79"/>
  <c r="H78"/>
  <c r="H77"/>
  <c r="H73" s="1"/>
  <c r="D32" i="7" s="1"/>
  <c r="G32" s="1"/>
  <c r="H76" i="12"/>
  <c r="H75"/>
  <c r="H74"/>
  <c r="G73"/>
  <c r="H71"/>
  <c r="H70"/>
  <c r="H69"/>
  <c r="H68"/>
  <c r="H67"/>
  <c r="H66"/>
  <c r="H65"/>
  <c r="H64"/>
  <c r="D28" i="7" s="1"/>
  <c r="F28" s="1"/>
  <c r="G64" i="12"/>
  <c r="H62"/>
  <c r="H61"/>
  <c r="H60"/>
  <c r="H59"/>
  <c r="H58"/>
  <c r="H57"/>
  <c r="H56"/>
  <c r="H55" s="1"/>
  <c r="D26" i="7" s="1"/>
  <c r="G55" i="12"/>
  <c r="H53"/>
  <c r="H52"/>
  <c r="H51"/>
  <c r="H50"/>
  <c r="H49"/>
  <c r="H48"/>
  <c r="H47"/>
  <c r="H46" s="1"/>
  <c r="D24" i="7" s="1"/>
  <c r="G46" s="1"/>
  <c r="G46" i="12"/>
  <c r="H44"/>
  <c r="H43"/>
  <c r="H42"/>
  <c r="H41"/>
  <c r="H40"/>
  <c r="H39"/>
  <c r="H37" s="1"/>
  <c r="D22" i="7" s="1"/>
  <c r="H38" i="12"/>
  <c r="G37"/>
  <c r="H35"/>
  <c r="H34"/>
  <c r="H33"/>
  <c r="H32"/>
  <c r="H31"/>
  <c r="H30"/>
  <c r="H29"/>
  <c r="H28" s="1"/>
  <c r="D12" i="7" s="1"/>
  <c r="J12" s="1"/>
  <c r="G28" i="12"/>
  <c r="H25"/>
  <c r="H26"/>
  <c r="H24"/>
  <c r="H22"/>
  <c r="H21"/>
  <c r="H23"/>
  <c r="H20"/>
  <c r="H19" s="1"/>
  <c r="C17" i="10"/>
  <c r="C16"/>
  <c r="C18"/>
  <c r="G4" i="7"/>
  <c r="H10" i="13"/>
  <c r="I10"/>
  <c r="K10"/>
  <c r="L10" s="1"/>
  <c r="H11"/>
  <c r="I11"/>
  <c r="K11"/>
  <c r="L11" s="1"/>
  <c r="H12"/>
  <c r="I12"/>
  <c r="K12"/>
  <c r="L12" s="1"/>
  <c r="H13"/>
  <c r="I13"/>
  <c r="K13"/>
  <c r="L13" s="1"/>
  <c r="I14"/>
  <c r="I15"/>
  <c r="I16"/>
  <c r="H17"/>
  <c r="I17" s="1"/>
  <c r="K17"/>
  <c r="L17"/>
  <c r="I18"/>
  <c r="I19"/>
  <c r="I20"/>
  <c r="I21"/>
  <c r="K21"/>
  <c r="L21" s="1"/>
  <c r="I22"/>
  <c r="K22"/>
  <c r="L22" s="1"/>
  <c r="I23"/>
  <c r="K23"/>
  <c r="L23"/>
  <c r="I24"/>
  <c r="K24"/>
  <c r="L24"/>
  <c r="I25"/>
  <c r="K25"/>
  <c r="L25" s="1"/>
  <c r="H26"/>
  <c r="M26" s="1"/>
  <c r="I26"/>
  <c r="K26"/>
  <c r="L26" s="1"/>
  <c r="I27"/>
  <c r="I28"/>
  <c r="I29"/>
  <c r="H30"/>
  <c r="I30"/>
  <c r="K30"/>
  <c r="H31"/>
  <c r="I31"/>
  <c r="K31"/>
  <c r="L31" s="1"/>
  <c r="H32"/>
  <c r="M32" s="1"/>
  <c r="I32"/>
  <c r="K32"/>
  <c r="L32" s="1"/>
  <c r="H33"/>
  <c r="I33"/>
  <c r="K33"/>
  <c r="M33" s="1"/>
  <c r="H34"/>
  <c r="I34" s="1"/>
  <c r="K34"/>
  <c r="L34"/>
  <c r="H35"/>
  <c r="I35" s="1"/>
  <c r="K35"/>
  <c r="L35"/>
  <c r="H36"/>
  <c r="I36" s="1"/>
  <c r="K36"/>
  <c r="M36"/>
  <c r="H37"/>
  <c r="I37" s="1"/>
  <c r="K37"/>
  <c r="L37"/>
  <c r="M37"/>
  <c r="H38"/>
  <c r="I38"/>
  <c r="K38"/>
  <c r="I39"/>
  <c r="K39"/>
  <c r="H40"/>
  <c r="I40"/>
  <c r="K40"/>
  <c r="L40" s="1"/>
  <c r="I41"/>
  <c r="I42"/>
  <c r="I43"/>
  <c r="P43"/>
  <c r="H44"/>
  <c r="I44"/>
  <c r="K44"/>
  <c r="M44" s="1"/>
  <c r="H45"/>
  <c r="I45" s="1"/>
  <c r="K45"/>
  <c r="L45"/>
  <c r="M45"/>
  <c r="H46"/>
  <c r="M46" s="1"/>
  <c r="K46"/>
  <c r="L46"/>
  <c r="H47"/>
  <c r="I47" s="1"/>
  <c r="K47"/>
  <c r="M47"/>
  <c r="H48"/>
  <c r="M48" s="1"/>
  <c r="K48"/>
  <c r="L48"/>
  <c r="H49"/>
  <c r="I49"/>
  <c r="K49"/>
  <c r="H50"/>
  <c r="I50"/>
  <c r="K50"/>
  <c r="L50" s="1"/>
  <c r="H51"/>
  <c r="M51" s="1"/>
  <c r="I51"/>
  <c r="K51"/>
  <c r="H52"/>
  <c r="I52"/>
  <c r="K52"/>
  <c r="M52" s="1"/>
  <c r="H53"/>
  <c r="I53" s="1"/>
  <c r="K53"/>
  <c r="L53"/>
  <c r="M53"/>
  <c r="H54"/>
  <c r="M54" s="1"/>
  <c r="K54"/>
  <c r="L54"/>
  <c r="H55"/>
  <c r="I55" s="1"/>
  <c r="K55"/>
  <c r="M55"/>
  <c r="H56"/>
  <c r="I56" s="1"/>
  <c r="K56"/>
  <c r="L56"/>
  <c r="M56"/>
  <c r="H57"/>
  <c r="I57"/>
  <c r="K57"/>
  <c r="H58"/>
  <c r="I58"/>
  <c r="K58"/>
  <c r="L58" s="1"/>
  <c r="H59"/>
  <c r="M59" s="1"/>
  <c r="I59"/>
  <c r="K59"/>
  <c r="H60"/>
  <c r="I60"/>
  <c r="K60"/>
  <c r="M60" s="1"/>
  <c r="H61"/>
  <c r="I61" s="1"/>
  <c r="K61"/>
  <c r="L61"/>
  <c r="H62"/>
  <c r="M62" s="1"/>
  <c r="K62"/>
  <c r="L62"/>
  <c r="I63"/>
  <c r="K63"/>
  <c r="I64"/>
  <c r="I65"/>
  <c r="G66"/>
  <c r="I66" s="1"/>
  <c r="H67"/>
  <c r="I67"/>
  <c r="K67"/>
  <c r="L67" s="1"/>
  <c r="I68"/>
  <c r="K68"/>
  <c r="M68" s="1"/>
  <c r="I69"/>
  <c r="I70"/>
  <c r="I71"/>
  <c r="H72"/>
  <c r="I72" s="1"/>
  <c r="K72"/>
  <c r="L72"/>
  <c r="H73"/>
  <c r="I73" s="1"/>
  <c r="K73"/>
  <c r="L73"/>
  <c r="H74"/>
  <c r="M74" s="1"/>
  <c r="K74"/>
  <c r="I75"/>
  <c r="K75"/>
  <c r="I76"/>
  <c r="K76"/>
  <c r="M76"/>
  <c r="H77"/>
  <c r="I77" s="1"/>
  <c r="K77"/>
  <c r="L77"/>
  <c r="H78"/>
  <c r="I78"/>
  <c r="K78"/>
  <c r="H79"/>
  <c r="K79"/>
  <c r="I80"/>
  <c r="K80"/>
  <c r="L80"/>
  <c r="H81"/>
  <c r="I81" s="1"/>
  <c r="K81"/>
  <c r="M81"/>
  <c r="L86"/>
  <c r="A5" i="7"/>
  <c r="C5"/>
  <c r="I16"/>
  <c r="G24"/>
  <c r="E30"/>
  <c r="F30"/>
  <c r="G30"/>
  <c r="H30"/>
  <c r="I30"/>
  <c r="A4"/>
  <c r="B7"/>
  <c r="A14" i="12"/>
  <c r="B14"/>
  <c r="C14"/>
  <c r="D14"/>
  <c r="E14"/>
  <c r="F14"/>
  <c r="G14" s="1"/>
  <c r="H14" s="1"/>
  <c r="A15"/>
  <c r="B15"/>
  <c r="C15"/>
  <c r="D15"/>
  <c r="E15"/>
  <c r="H15" s="1"/>
  <c r="F15"/>
  <c r="G15"/>
  <c r="A16"/>
  <c r="B16"/>
  <c r="C16"/>
  <c r="D16"/>
  <c r="E16"/>
  <c r="H16" s="1"/>
  <c r="F16"/>
  <c r="G16" s="1"/>
  <c r="A17"/>
  <c r="B17"/>
  <c r="C17"/>
  <c r="D17"/>
  <c r="E17"/>
  <c r="F17"/>
  <c r="G17" s="1"/>
  <c r="G19"/>
  <c r="H10" i="11"/>
  <c r="I10" s="1"/>
  <c r="K10"/>
  <c r="L10"/>
  <c r="H11"/>
  <c r="I11" s="1"/>
  <c r="K11"/>
  <c r="L11"/>
  <c r="H12"/>
  <c r="I12" s="1"/>
  <c r="K12"/>
  <c r="L12"/>
  <c r="H13"/>
  <c r="I13" s="1"/>
  <c r="K13"/>
  <c r="L13"/>
  <c r="I14"/>
  <c r="I15"/>
  <c r="I16"/>
  <c r="H17"/>
  <c r="I17" s="1"/>
  <c r="K17"/>
  <c r="L17"/>
  <c r="I18"/>
  <c r="I19"/>
  <c r="I20"/>
  <c r="I21"/>
  <c r="K21"/>
  <c r="L21" s="1"/>
  <c r="I22"/>
  <c r="K22"/>
  <c r="L22"/>
  <c r="I23"/>
  <c r="K23"/>
  <c r="L23"/>
  <c r="I24"/>
  <c r="K24"/>
  <c r="L24" s="1"/>
  <c r="I25"/>
  <c r="K25"/>
  <c r="L25" s="1"/>
  <c r="H26"/>
  <c r="I26"/>
  <c r="K26"/>
  <c r="L26" s="1"/>
  <c r="I27"/>
  <c r="I28"/>
  <c r="I29"/>
  <c r="H30"/>
  <c r="I30" s="1"/>
  <c r="K30"/>
  <c r="L30"/>
  <c r="H31"/>
  <c r="I31" s="1"/>
  <c r="K31"/>
  <c r="L31"/>
  <c r="H32"/>
  <c r="I32" s="1"/>
  <c r="K32"/>
  <c r="L32"/>
  <c r="H33"/>
  <c r="I33" s="1"/>
  <c r="K33"/>
  <c r="L33"/>
  <c r="H34"/>
  <c r="I34" s="1"/>
  <c r="K34"/>
  <c r="L34"/>
  <c r="H35"/>
  <c r="I35" s="1"/>
  <c r="K35"/>
  <c r="L35"/>
  <c r="H36"/>
  <c r="I36" s="1"/>
  <c r="K36"/>
  <c r="L36"/>
  <c r="H37"/>
  <c r="I37" s="1"/>
  <c r="K37"/>
  <c r="L37"/>
  <c r="H38"/>
  <c r="I38" s="1"/>
  <c r="K38"/>
  <c r="L38"/>
  <c r="I39"/>
  <c r="K39"/>
  <c r="L39"/>
  <c r="H40"/>
  <c r="I40" s="1"/>
  <c r="K40"/>
  <c r="L40"/>
  <c r="I41"/>
  <c r="I42"/>
  <c r="I43"/>
  <c r="H44"/>
  <c r="I44"/>
  <c r="K44"/>
  <c r="L44" s="1"/>
  <c r="H45"/>
  <c r="I45"/>
  <c r="K45"/>
  <c r="L45" s="1"/>
  <c r="H46"/>
  <c r="I46"/>
  <c r="K46"/>
  <c r="L46" s="1"/>
  <c r="H47"/>
  <c r="I47"/>
  <c r="K47"/>
  <c r="L47" s="1"/>
  <c r="H48"/>
  <c r="I48"/>
  <c r="K48"/>
  <c r="L48" s="1"/>
  <c r="H49"/>
  <c r="I49"/>
  <c r="K49"/>
  <c r="L49" s="1"/>
  <c r="H50"/>
  <c r="I50"/>
  <c r="K50"/>
  <c r="L50" s="1"/>
  <c r="H51"/>
  <c r="I51"/>
  <c r="K51"/>
  <c r="L51" s="1"/>
  <c r="H52"/>
  <c r="I52"/>
  <c r="K52"/>
  <c r="L52" s="1"/>
  <c r="H53"/>
  <c r="I53"/>
  <c r="K53"/>
  <c r="L53" s="1"/>
  <c r="H54"/>
  <c r="I54"/>
  <c r="K54"/>
  <c r="L54" s="1"/>
  <c r="H55"/>
  <c r="I55"/>
  <c r="K55"/>
  <c r="L55" s="1"/>
  <c r="H56"/>
  <c r="I56"/>
  <c r="K56"/>
  <c r="L56" s="1"/>
  <c r="H57"/>
  <c r="I57"/>
  <c r="K57"/>
  <c r="L57" s="1"/>
  <c r="H58"/>
  <c r="I58"/>
  <c r="K58"/>
  <c r="L58" s="1"/>
  <c r="H59"/>
  <c r="I59"/>
  <c r="K59"/>
  <c r="L59" s="1"/>
  <c r="H60"/>
  <c r="I60"/>
  <c r="K60"/>
  <c r="L60" s="1"/>
  <c r="H61"/>
  <c r="I61"/>
  <c r="K61"/>
  <c r="L61" s="1"/>
  <c r="H62"/>
  <c r="I62"/>
  <c r="K62"/>
  <c r="L62" s="1"/>
  <c r="I63"/>
  <c r="K63"/>
  <c r="L63" s="1"/>
  <c r="I64"/>
  <c r="I65"/>
  <c r="I66"/>
  <c r="H67"/>
  <c r="I67" s="1"/>
  <c r="K67"/>
  <c r="L67"/>
  <c r="H68"/>
  <c r="I68" s="1"/>
  <c r="K68"/>
  <c r="L68"/>
  <c r="H69"/>
  <c r="I69" s="1"/>
  <c r="I70"/>
  <c r="I71"/>
  <c r="H72"/>
  <c r="I72" s="1"/>
  <c r="K72"/>
  <c r="L72"/>
  <c r="H73"/>
  <c r="I73" s="1"/>
  <c r="K73"/>
  <c r="L73"/>
  <c r="H74"/>
  <c r="I74" s="1"/>
  <c r="K74"/>
  <c r="L74"/>
  <c r="I75"/>
  <c r="K75"/>
  <c r="L75"/>
  <c r="I76"/>
  <c r="K76"/>
  <c r="L76" s="1"/>
  <c r="H77"/>
  <c r="I77"/>
  <c r="K77"/>
  <c r="L77" s="1"/>
  <c r="H78"/>
  <c r="I78"/>
  <c r="K78"/>
  <c r="L78" s="1"/>
  <c r="H79"/>
  <c r="I79"/>
  <c r="K79"/>
  <c r="L79" s="1"/>
  <c r="H80"/>
  <c r="I80"/>
  <c r="K80"/>
  <c r="L80" s="1"/>
  <c r="I81"/>
  <c r="K81"/>
  <c r="L81" s="1"/>
  <c r="L86"/>
  <c r="E14" i="6"/>
  <c r="E19"/>
  <c r="E21"/>
  <c r="E22"/>
  <c r="E23"/>
  <c r="E25"/>
  <c r="E34"/>
  <c r="I20" i="7"/>
  <c r="L81" i="13"/>
  <c r="M80"/>
  <c r="L76"/>
  <c r="L74"/>
  <c r="M73"/>
  <c r="L59"/>
  <c r="M58"/>
  <c r="L55"/>
  <c r="L51"/>
  <c r="M50"/>
  <c r="L47"/>
  <c r="M40"/>
  <c r="L36"/>
  <c r="M31"/>
  <c r="I18" i="7"/>
  <c r="I14"/>
  <c r="H10" i="6"/>
  <c r="I98" i="15"/>
  <c r="H46"/>
  <c r="I46" s="1"/>
  <c r="I48" i="7"/>
  <c r="E24" i="6"/>
  <c r="I79" i="13"/>
  <c r="L63"/>
  <c r="M63"/>
  <c r="G62" i="15"/>
  <c r="I62"/>
  <c r="G14" i="6" l="1"/>
  <c r="H14" s="1"/>
  <c r="H50" s="1"/>
  <c r="J51" s="1"/>
  <c r="G21"/>
  <c r="H21" s="1"/>
  <c r="G32"/>
  <c r="H32" s="1"/>
  <c r="G35"/>
  <c r="H35" s="1"/>
  <c r="G15"/>
  <c r="H15" s="1"/>
  <c r="G20"/>
  <c r="H20" s="1"/>
  <c r="G44"/>
  <c r="H44" s="1"/>
  <c r="G28"/>
  <c r="H28" s="1"/>
  <c r="G22"/>
  <c r="H22" s="1"/>
  <c r="G27"/>
  <c r="G36"/>
  <c r="H36" s="1"/>
  <c r="G18"/>
  <c r="H18" s="1"/>
  <c r="G30"/>
  <c r="H30" s="1"/>
  <c r="G26"/>
  <c r="G47"/>
  <c r="H47" s="1"/>
  <c r="G31"/>
  <c r="H31" s="1"/>
  <c r="G40"/>
  <c r="H40" s="1"/>
  <c r="G16"/>
  <c r="H16" s="1"/>
  <c r="G43"/>
  <c r="H43" s="1"/>
  <c r="M49" i="13"/>
  <c r="M64" s="1"/>
  <c r="O64" s="1"/>
  <c r="L49"/>
  <c r="D10" i="7"/>
  <c r="J26"/>
  <c r="E26"/>
  <c r="I26"/>
  <c r="H26"/>
  <c r="I116" i="15"/>
  <c r="I128" s="1"/>
  <c r="H128"/>
  <c r="M79" i="13"/>
  <c r="L79"/>
  <c r="I26" i="15"/>
  <c r="I38" s="1"/>
  <c r="E38"/>
  <c r="H110"/>
  <c r="I99"/>
  <c r="H134"/>
  <c r="G146"/>
  <c r="L75" i="13"/>
  <c r="N83" s="1"/>
  <c r="M75"/>
  <c r="M57"/>
  <c r="L57"/>
  <c r="L39"/>
  <c r="M39"/>
  <c r="M30"/>
  <c r="L30"/>
  <c r="G74" i="15"/>
  <c r="G34" i="6"/>
  <c r="H34" s="1"/>
  <c r="G26" i="7"/>
  <c r="L68" i="13"/>
  <c r="G48" i="6"/>
  <c r="H48" s="1"/>
  <c r="G19"/>
  <c r="H19" s="1"/>
  <c r="N69" i="13"/>
  <c r="H91" i="12"/>
  <c r="D44" i="7" s="1"/>
  <c r="I44" s="1"/>
  <c r="H100" i="12"/>
  <c r="D46" i="7" s="1"/>
  <c r="F46" s="1"/>
  <c r="H109" i="12"/>
  <c r="D48" i="7" s="1"/>
  <c r="H118" i="12"/>
  <c r="F56" i="15"/>
  <c r="E27" i="6"/>
  <c r="E26"/>
  <c r="L38" i="13"/>
  <c r="M38"/>
  <c r="J34" i="7"/>
  <c r="I12"/>
  <c r="I34"/>
  <c r="H46"/>
  <c r="F24"/>
  <c r="H24"/>
  <c r="I46"/>
  <c r="E24"/>
  <c r="I24"/>
  <c r="J24"/>
  <c r="J46"/>
  <c r="E46"/>
  <c r="E28"/>
  <c r="I28"/>
  <c r="G28"/>
  <c r="H28"/>
  <c r="I50"/>
  <c r="I80" i="15"/>
  <c r="I92" s="1"/>
  <c r="H92"/>
  <c r="L78" i="13"/>
  <c r="M78"/>
  <c r="G22" i="7"/>
  <c r="I22"/>
  <c r="J44"/>
  <c r="G23" i="6"/>
  <c r="H23" s="1"/>
  <c r="G25"/>
  <c r="H25" s="1"/>
  <c r="H56" i="15"/>
  <c r="I110"/>
  <c r="G39" i="6"/>
  <c r="H39" s="1"/>
  <c r="M72" i="13"/>
  <c r="M83" s="1"/>
  <c r="M61"/>
  <c r="M34"/>
  <c r="N26"/>
  <c r="O26" s="1"/>
  <c r="J50" i="7"/>
  <c r="M77" i="13"/>
  <c r="I74"/>
  <c r="M35"/>
  <c r="M67"/>
  <c r="M69" s="1"/>
  <c r="O69" s="1"/>
  <c r="H17" i="12"/>
  <c r="I62" i="13"/>
  <c r="L60"/>
  <c r="I54"/>
  <c r="L52"/>
  <c r="I48"/>
  <c r="I46"/>
  <c r="L44"/>
  <c r="N64" s="1"/>
  <c r="L33"/>
  <c r="F20" i="15"/>
  <c r="J32" i="7"/>
  <c r="J48"/>
  <c r="J10"/>
  <c r="J22"/>
  <c r="E48"/>
  <c r="G10"/>
  <c r="J28"/>
  <c r="F12"/>
  <c r="G46" i="6"/>
  <c r="H46" s="1"/>
  <c r="G42"/>
  <c r="H42" s="1"/>
  <c r="G38"/>
  <c r="H38" s="1"/>
  <c r="G24"/>
  <c r="H24" s="1"/>
  <c r="G33"/>
  <c r="H33" s="1"/>
  <c r="G29"/>
  <c r="H29" s="1"/>
  <c r="G17"/>
  <c r="H17" s="1"/>
  <c r="G49"/>
  <c r="H49" s="1"/>
  <c r="G45"/>
  <c r="H45" s="1"/>
  <c r="G41"/>
  <c r="H41" s="1"/>
  <c r="G37"/>
  <c r="H37" s="1"/>
  <c r="F26" i="7"/>
  <c r="H48"/>
  <c r="D50" l="1"/>
  <c r="H146" i="15"/>
  <c r="I134"/>
  <c r="I146" s="1"/>
  <c r="O83" i="13"/>
  <c r="N41"/>
  <c r="K19" i="12"/>
  <c r="F13" s="1"/>
  <c r="G13" s="1"/>
  <c r="H13" s="1"/>
  <c r="H12" s="1"/>
  <c r="D8" i="7" s="1"/>
  <c r="H26" i="6"/>
  <c r="M41" i="13"/>
  <c r="O41" s="1"/>
  <c r="I10" i="7"/>
  <c r="I32"/>
  <c r="H27" i="6"/>
  <c r="P41" i="13" l="1"/>
  <c r="O42"/>
  <c r="I8" i="7"/>
  <c r="I52" s="1"/>
  <c r="I51" s="1"/>
  <c r="F8"/>
  <c r="F52" s="1"/>
  <c r="J8"/>
  <c r="J52" s="1"/>
  <c r="J51" s="1"/>
  <c r="H8"/>
  <c r="G8"/>
  <c r="G52" s="1"/>
  <c r="E8"/>
  <c r="E52" s="1"/>
  <c r="D7"/>
  <c r="H50"/>
  <c r="H52" s="1"/>
  <c r="H51" s="1"/>
  <c r="D52"/>
  <c r="H127" i="12"/>
  <c r="K4" i="15" l="1"/>
  <c r="K5" s="1"/>
  <c r="I8" s="1"/>
  <c r="I20" s="1"/>
  <c r="E4" i="7"/>
  <c r="J128" i="12"/>
  <c r="E51" i="7"/>
  <c r="F51"/>
  <c r="D31"/>
  <c r="D47"/>
  <c r="D33"/>
  <c r="D27"/>
  <c r="D25"/>
  <c r="D45"/>
  <c r="D49"/>
  <c r="D9"/>
  <c r="D23"/>
  <c r="D11"/>
  <c r="D43"/>
  <c r="D29"/>
  <c r="D21"/>
  <c r="G51"/>
  <c r="D51" l="1"/>
</calcChain>
</file>

<file path=xl/sharedStrings.xml><?xml version="1.0" encoding="utf-8"?>
<sst xmlns="http://schemas.openxmlformats.org/spreadsheetml/2006/main" count="1383" uniqueCount="479">
  <si>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</si>
  <si>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</si>
  <si>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</si>
  <si>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</si>
  <si>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</si>
  <si>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</si>
  <si>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</si>
  <si>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</si>
  <si>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(    )</t>
  </si>
  <si>
    <t>LDI</t>
  </si>
  <si>
    <t>PREÇO TOTAL</t>
  </si>
  <si>
    <t>CREA</t>
  </si>
  <si>
    <t xml:space="preserve">FORMA DE EXECUÇÃO: </t>
  </si>
  <si>
    <t>PREÇO UNITÁRIO S/ LDI</t>
  </si>
  <si>
    <t>PREÇO UNITÁRIO C/ LDI</t>
  </si>
  <si>
    <t>M2</t>
  </si>
  <si>
    <t>1.1</t>
  </si>
  <si>
    <t>INSTALAÇÕES INICIAIS DA OBRA</t>
  </si>
  <si>
    <t>1.2</t>
  </si>
  <si>
    <t>2.1</t>
  </si>
  <si>
    <t>2.2</t>
  </si>
  <si>
    <t>2.3</t>
  </si>
  <si>
    <t>3.1</t>
  </si>
  <si>
    <t>M</t>
  </si>
  <si>
    <t>TOTAL GERAL DA OBRA</t>
  </si>
  <si>
    <t xml:space="preserve">FOLHA Nº: </t>
  </si>
  <si>
    <t>(  x  )</t>
  </si>
  <si>
    <t>CRONOGRAMA FÍSICO-FINANCEIRO</t>
  </si>
  <si>
    <t>ETAPAS/DESCRIÇÃO</t>
  </si>
  <si>
    <t>FÍSICO/ FINANCEIRO</t>
  </si>
  <si>
    <t>TOTAL  ETAPAS</t>
  </si>
  <si>
    <t>MÊS 1</t>
  </si>
  <si>
    <t>MÊS 2</t>
  </si>
  <si>
    <t>MÊS 3</t>
  </si>
  <si>
    <t>MÊS 4</t>
  </si>
  <si>
    <t>MÊS 5</t>
  </si>
  <si>
    <t>Físico %</t>
  </si>
  <si>
    <t>Financeiro</t>
  </si>
  <si>
    <t>TOTAL</t>
  </si>
  <si>
    <t>PREFEITURA: Prefeitura Municipal de Coração de Jesus</t>
  </si>
  <si>
    <t>___________________________________________</t>
  </si>
  <si>
    <t>R.T: Eng. Civil Eduardo Marques Dias</t>
  </si>
  <si>
    <t>45.984/D-MG</t>
  </si>
  <si>
    <t>CÁLCULO DE COMPOSIÇÃO DE BDI</t>
  </si>
  <si>
    <t>DISCRIMINAÇÃO DAS PARCELAS</t>
  </si>
  <si>
    <t>SIGLA</t>
  </si>
  <si>
    <t>ISS 5%</t>
  </si>
  <si>
    <t>Administração Central</t>
  </si>
  <si>
    <t>AC</t>
  </si>
  <si>
    <t>Lucro</t>
  </si>
  <si>
    <t>L</t>
  </si>
  <si>
    <t>Despesas Finaceiras</t>
  </si>
  <si>
    <t>DF</t>
  </si>
  <si>
    <t>Seguros</t>
  </si>
  <si>
    <t>S</t>
  </si>
  <si>
    <t>Garantias</t>
  </si>
  <si>
    <t>G</t>
  </si>
  <si>
    <t>Risco</t>
  </si>
  <si>
    <t>R</t>
  </si>
  <si>
    <t>Tributos</t>
  </si>
  <si>
    <t>I</t>
  </si>
  <si>
    <t>ISS</t>
  </si>
  <si>
    <t>PIS</t>
  </si>
  <si>
    <t>CONFINS</t>
  </si>
  <si>
    <t>FÓRMULA DO BDI =</t>
  </si>
  <si>
    <t>(1 - (I + CPRB))</t>
  </si>
  <si>
    <t xml:space="preserve">BDI(numerador) = </t>
  </si>
  <si>
    <t xml:space="preserve">BDI(denominador) = </t>
  </si>
  <si>
    <t xml:space="preserve">BDI TOTAL = </t>
  </si>
  <si>
    <r>
      <t>(</t>
    </r>
    <r>
      <rPr>
        <b/>
        <u/>
        <sz val="10"/>
        <rFont val="Arial"/>
        <family val="2"/>
      </rPr>
      <t>1 + (AC + S + G + R)) x (1 + DF) x (1 + L)</t>
    </r>
  </si>
  <si>
    <t xml:space="preserve">M3 </t>
  </si>
  <si>
    <t>2.1.1</t>
  </si>
  <si>
    <t>2.3.1</t>
  </si>
  <si>
    <t>3.1.1</t>
  </si>
  <si>
    <t>3.1.2</t>
  </si>
  <si>
    <t>3.1.3</t>
  </si>
  <si>
    <t>4.1.1</t>
  </si>
  <si>
    <t>4.1.2</t>
  </si>
  <si>
    <t>4.1.3</t>
  </si>
  <si>
    <t>Pedro Magalhães Araújo Neto - Prefeito Municipal de Coração de Jesus</t>
  </si>
  <si>
    <t>A N E X O   I I</t>
  </si>
  <si>
    <t>OBRA: Reforma da Praça Ferreira Leal</t>
  </si>
  <si>
    <t>DATA: 20/03/2014</t>
  </si>
  <si>
    <t>REGIÃO/MÊS DE REFERÊNCIA: Região Norte - Dezembro/2013 e Janeiro/2014</t>
  </si>
  <si>
    <t>PRAZO DE EXECUÇÃO: 02 Meses</t>
  </si>
  <si>
    <t>PISO</t>
  </si>
  <si>
    <t>OBR-VIA-210</t>
  </si>
  <si>
    <t>EXECUÇÃO DE CALÇAMENTO EM BLOQUETE - E = 6 CM - FCK = 25 MPA, INCLUINDO FORNECIMENTO E TRANSPORTE DE TODOS OS MATERIAIS, COLCHÃO DE ASSENTAMENTO E = 6 CM</t>
  </si>
  <si>
    <t xml:space="preserve">M2 </t>
  </si>
  <si>
    <t>PIN-ACR-025</t>
  </si>
  <si>
    <t xml:space="preserve">PINTURA ACRÍLICA SOBRE PISOS CIMENTADOS </t>
  </si>
  <si>
    <t>MIRANTE</t>
  </si>
  <si>
    <t>PIN-SEL-005</t>
  </si>
  <si>
    <t>PREPARAÇÃO PARA PINTURA EM PAREDES, PVA/ACRÍLICA COM FUNDO SELADOR</t>
  </si>
  <si>
    <t>PIN-ACR-005</t>
  </si>
  <si>
    <t>PINTURA ACRÍLICA, EM PAREDES, 2 DEMÃOS SEM MASSA CORRIDA, EXCLUSIVE FUNDO SELADOR</t>
  </si>
  <si>
    <t>GUARDA-CORPO</t>
  </si>
  <si>
    <t>EST-FOR-005</t>
  </si>
  <si>
    <t>FORMA E DESFORMA EM TÁBUAS DE PINHO, EXCLUSIVE ESCORAMENTO (3X) (PILARETES)</t>
  </si>
  <si>
    <t>EST-CON-015</t>
  </si>
  <si>
    <t>2.3.2</t>
  </si>
  <si>
    <t>FORNECIMENTO E LANÇAMENTO DE CONCRETO ESTRUTURAL VIRADO EM OBRA FCK &gt;= 13,5 MPA, BRITA 1 E 2 EM ESTRUTURA (PILARETES)</t>
  </si>
  <si>
    <t>2.3.3</t>
  </si>
  <si>
    <t>PIN-LAT-005</t>
  </si>
  <si>
    <t>PINTURA LÁTEX PVA, EM PAREDES, 2 DEMÃOS SEM MASSA CORRIDA, EXCLUSIVE FUNDO SELADOR (FECHAMENTO H=40 CM)</t>
  </si>
  <si>
    <t xml:space="preserve"> TUBO DE AÇO GALVANIZADO 2" (50MM) - FORNECIMENTO E INSTALACAO (GUARDA-CORPO)</t>
  </si>
  <si>
    <t>PIN-ESM-030</t>
  </si>
  <si>
    <t xml:space="preserve">M </t>
  </si>
  <si>
    <t>2.3.4</t>
  </si>
  <si>
    <t>2.3.5</t>
  </si>
  <si>
    <t>2.3.6</t>
  </si>
  <si>
    <t>PINTURA ÓLEO/ESMALTE, 2 DEMÃOS EM TUBO GALVANIZADO (GUARDA-CORPO)</t>
  </si>
  <si>
    <t>INSTALAÇÕES ELÉTRICAS</t>
  </si>
  <si>
    <t xml:space="preserve">UN </t>
  </si>
  <si>
    <t>ELE-LUM-070</t>
  </si>
  <si>
    <t>LUMINÁRIA REFLETORA PARA ILUMINAÇÃO PÚBLICA COM LÂMPADA VAPOR DE MERCÚRIO, 6 REFLETORES DE 400W EM POSTE DE CONCRETO COM 9 M DE ALTURA (COMPLETA)</t>
  </si>
  <si>
    <t xml:space="preserve">PÇ </t>
  </si>
  <si>
    <t>PAISAGISMO</t>
  </si>
  <si>
    <t xml:space="preserve">BANCO DE JARDIM EM CONCRETO TIPO 2, 150 X 40 CM, H = 45 CM </t>
  </si>
  <si>
    <t>BAN-JAR-015</t>
  </si>
  <si>
    <t>4.1</t>
  </si>
  <si>
    <t>ELE-CXS-085</t>
  </si>
  <si>
    <t>CAIXA DE PASSAGEM PARA PISO, METÁLICA, TAMPA ANTIDERRAPANTE, 400 X 400 X 200 CM</t>
  </si>
  <si>
    <t>ELE-ELE-020</t>
  </si>
  <si>
    <t xml:space="preserve">ELETRODUTO PVC RÍGIDO, ROSCA, INCLUSIVE CONEXÕES D = 1 1/4" </t>
  </si>
  <si>
    <t>ELE-CAB-025.7</t>
  </si>
  <si>
    <t>CABO DE COBRE ISOLAMENTO ANTI-CHAMA, SEÇÃO 10 MM2, 450/750 V - FLEXÍVEL (VERDE-AMARELO)</t>
  </si>
  <si>
    <t>ALVENARIA DE BLOCO DE CONCRETO E = 20 CM, APARENTE, VEDAÇÃO (FECHAMENTO H=40 CM)</t>
  </si>
  <si>
    <t>ALV-BLO-030</t>
  </si>
  <si>
    <t>HID-TUB-120</t>
  </si>
  <si>
    <t xml:space="preserve"> TUBO DE AÇO GALVANIZADO 1" (25MM) - FORNECIMENTO E INSTALACAO (GUARDA-CORPO)</t>
  </si>
  <si>
    <t>HID-TUB-105</t>
  </si>
  <si>
    <t>2.3.7</t>
  </si>
  <si>
    <t>3.2</t>
  </si>
  <si>
    <t>3.3</t>
  </si>
  <si>
    <t>3.4</t>
  </si>
  <si>
    <t>LOCAL: Praça Ferreira Leal, Centro, Municipio de Coração de Jesus-MG</t>
  </si>
  <si>
    <t>ELE-PAD-020</t>
  </si>
  <si>
    <t>PADRÃO CEMIG AÉREO TIPO D4, 27,1 &lt;= DEMANDA &lt;= 38 KVA,
TRIFÁSICO</t>
  </si>
  <si>
    <t>ELE-REL-005</t>
  </si>
  <si>
    <t>RELÉ FOTOELÉTRICO RM 10 120 V, 1200 VA COM BASE</t>
  </si>
  <si>
    <t>PLANILHA ORÇAMENTARIA DE CUSTOS - GERAL</t>
  </si>
  <si>
    <t>PREFEITURA: CORAÇÃO DE JESUS</t>
  </si>
  <si>
    <t>FOLHA N°:                  1</t>
  </si>
  <si>
    <t xml:space="preserve">OBRA: REFORMA DE PRAÇA </t>
  </si>
  <si>
    <t>DATA :                          23/05/2012</t>
  </si>
  <si>
    <t xml:space="preserve">LOCAL : CENTRO, PRAÇA FERREIRA LEAL </t>
  </si>
  <si>
    <t>FORMA DE EXECUÇÃO:</t>
  </si>
  <si>
    <t>REGIÃO/MÊS DE REFERÊNCIA: NORTE/MARÇO2012</t>
  </si>
  <si>
    <t>( ) DIRETA</t>
  </si>
  <si>
    <t>(X) INDIRETA</t>
  </si>
  <si>
    <t xml:space="preserve">PRAZO DE EXECUÇÃO: 3 MESES </t>
  </si>
  <si>
    <t xml:space="preserve">                LDI             26,00%</t>
  </si>
  <si>
    <t xml:space="preserve">DESCRIÇÃO DOS SERVIÇOS </t>
  </si>
  <si>
    <t>PREÇO UNITÁRIO S/LDI</t>
  </si>
  <si>
    <t>PREÇO UNITÁRIO C/LDI</t>
  </si>
  <si>
    <t xml:space="preserve">SERVIÇOS PRELIMINARES </t>
  </si>
  <si>
    <t xml:space="preserve">INSTALAÇÃO INICIAIS DA OBRA </t>
  </si>
  <si>
    <t>1.1.1</t>
  </si>
  <si>
    <t>IIO-BAR-046</t>
  </si>
  <si>
    <t>BARRAÇÃO DE OBRA</t>
  </si>
  <si>
    <t>M²</t>
  </si>
  <si>
    <t>1.1.2</t>
  </si>
  <si>
    <t>IIO-PLA-005</t>
  </si>
  <si>
    <t>FORNECIMENTO E COLOCAÇÃO DE PLACA DE OBRA EM CHAPA GALVANIZADA (3,00X1,50M) GOVERNO DE ESTADO</t>
  </si>
  <si>
    <t>UNI</t>
  </si>
  <si>
    <t>1.1.3</t>
  </si>
  <si>
    <t>IIO-LIG-010</t>
  </si>
  <si>
    <t>LIGAÇÃO PROVISÓRIA DE LUZ E FORÇA-PADRÃO PROVISÓRIA 30KVA</t>
  </si>
  <si>
    <t>1.1.4</t>
  </si>
  <si>
    <t>IIO-LIG-015</t>
  </si>
  <si>
    <t xml:space="preserve">LIGAÇÃO PROVISÓRIA DE AGUA E ESGOTO </t>
  </si>
  <si>
    <t xml:space="preserve">DEMOLIÇÃO E REMOÇÃO </t>
  </si>
  <si>
    <t>DEM-PIS-040</t>
  </si>
  <si>
    <t>DEMOLIÇÃO DE PASSEIO OU LAJE DE CONCRETO COM EQUIPAMENTO PNEUMÁTICO, INCLUSIVE AFASTAMENTO</t>
  </si>
  <si>
    <t xml:space="preserve">GRAMA E ÁRVORE </t>
  </si>
  <si>
    <t>PAI-GRA-015</t>
  </si>
  <si>
    <t xml:space="preserve">PLANTIO DE GRAMA ESMERALDA EM PLACAS, INCLUSIVE TERRA VEGETAL E CONSERVAÇÃO POR 30 DIAS </t>
  </si>
  <si>
    <t>PAI-COV-005</t>
  </si>
  <si>
    <t xml:space="preserve">PLANTIO E PREPARO DE COVAS DE ÁRVORE H MIN 1,80M COM COVA 60X60X60CM, EXCETO FORNOCIMENTO DE MUDAS </t>
  </si>
  <si>
    <t>PAI-MUD-010</t>
  </si>
  <si>
    <t xml:space="preserve">FORNOCIMENTO DE ÁRVORE - IPÊ ROSA </t>
  </si>
  <si>
    <t>3.1.4</t>
  </si>
  <si>
    <t>FORNECIMENTO DE ÁRVORE - FLAMBOYANT MIRIM</t>
  </si>
  <si>
    <t>3.1.5</t>
  </si>
  <si>
    <t>PAI-MUD-060</t>
  </si>
  <si>
    <t xml:space="preserve">FORNECIMENTO DE PALMEIRAS ARECA LUTESCENS </t>
  </si>
  <si>
    <t>3.1.6</t>
  </si>
  <si>
    <t>URB-COR-005</t>
  </si>
  <si>
    <t>CORDÃO DE CONCRETO PRÉ-MOLDADO BOLEADO 10X10CM</t>
  </si>
  <si>
    <t xml:space="preserve">INSTALAÇÃO HIDRÁULICA </t>
  </si>
  <si>
    <t xml:space="preserve">IRRIGAÇÃO </t>
  </si>
  <si>
    <t>HI-ADP-025</t>
  </si>
  <si>
    <t>ADAPTADOR SOLDÁVEL DE PVC MARROM COM FLANGES E ANEIS PARA CAIXA DE ÁGUA DN50MM X 1 1/2''</t>
  </si>
  <si>
    <t>HID-CXS-300</t>
  </si>
  <si>
    <t xml:space="preserve">CAIXA DE ÁGUA SUBTERRÂNEA, CAPACIDADE 15.000L, EM CONCRETO E CASAS DE BOMBAS </t>
  </si>
  <si>
    <t>HID-REG-105</t>
  </si>
  <si>
    <t>REGISTRO DE ESFERA EM PVC SOLDÁEL DN 32MM</t>
  </si>
  <si>
    <t>4.1.4</t>
  </si>
  <si>
    <t>HID-REG-030</t>
  </si>
  <si>
    <t>REGISTRO DE GAVETA BRUTO D= 32MM (1 1/4'')</t>
  </si>
  <si>
    <t>4.1.5</t>
  </si>
  <si>
    <t>HID-REG-035</t>
  </si>
  <si>
    <t>REGISTRO DE GAVETA BRUTO D= 40MM (1 1/2'')</t>
  </si>
  <si>
    <t>unid.</t>
  </si>
  <si>
    <t>4.1.6</t>
  </si>
  <si>
    <t>HID-TUB-015</t>
  </si>
  <si>
    <t>TUBO PVC RÍGIDO SOLDÁVEL, ÁGUA INCLUSIVE CONEXÕES E SUPORTE , 32MM</t>
  </si>
  <si>
    <t>4.1.7</t>
  </si>
  <si>
    <t>HID-TUB-010</t>
  </si>
  <si>
    <t>TUDO PVC RÍGIDO SOLDÁVEL , ÁGUA INCLUISIVE CONEXÕES E SUPORTES , 25MM</t>
  </si>
  <si>
    <t>4.1.8</t>
  </si>
  <si>
    <t>HID-TUB-020</t>
  </si>
  <si>
    <t>TUDO PVC RÍGIDO SOLDÁVEL , ÁGUA INCLUISIVE CONEXÕES E SUPORTES , 40MM</t>
  </si>
  <si>
    <t>4.1.9</t>
  </si>
  <si>
    <t>HID-TUB-025</t>
  </si>
  <si>
    <t>TUDO PVC RÍGIDO SOLDÁVEL , ÁGUA INCLUISIVE CONEXÕES E SUPORTES , 50MM</t>
  </si>
  <si>
    <t>4.1.10</t>
  </si>
  <si>
    <t>HID-BOM-035</t>
  </si>
  <si>
    <t>CONJUNTO ELEVATÓTIO MOTOR-BOMBA (CONTRÍFUGA) DE 3HP</t>
  </si>
  <si>
    <t>4.1.11</t>
  </si>
  <si>
    <t>MET-TOR-010</t>
  </si>
  <si>
    <t>TORNEIRA DE IRRIGAÇÃO D= 1/2''</t>
  </si>
  <si>
    <t xml:space="preserve">INSTALAÇÕES ELÉTRICAS </t>
  </si>
  <si>
    <t>5.1</t>
  </si>
  <si>
    <t xml:space="preserve">ILUMINAÇÃO </t>
  </si>
  <si>
    <t>5.1.1</t>
  </si>
  <si>
    <t>ELETRODUTO PVC RÍGIDO , ROSCA , INCLUSIVE CONEXÕES D= 1 1/4''</t>
  </si>
  <si>
    <t>5.1.2</t>
  </si>
  <si>
    <t>ELE-ELE-025</t>
  </si>
  <si>
    <t>ELETRODUTO PVC RÍGIDO , ROSCA , INCLUSIVE CONEXÕES D= 1 1/2''</t>
  </si>
  <si>
    <t>5.1.3</t>
  </si>
  <si>
    <t xml:space="preserve">PADRÃO CEMIG AEREO TIPO D4, 27,1&lt;=388&lt;VA, TRIFÁSICO </t>
  </si>
  <si>
    <t>5.1.4</t>
  </si>
  <si>
    <t>ELE-QUA-010</t>
  </si>
  <si>
    <t>QUADRO DE DISTRIBUIÇÃO PARA 20 MÓDULOS COM BARRAMENTO 100A</t>
  </si>
  <si>
    <t>5.1.5</t>
  </si>
  <si>
    <t>ELE-CAB-035.7</t>
  </si>
  <si>
    <t>CABO DE COBRE ISOLAMENTO ANTI-CHAMAS , SEÇÃO 25MM², 450/750V, FLEXÍVEL /VERDE-AMARELO</t>
  </si>
  <si>
    <t>5.1.6</t>
  </si>
  <si>
    <t>ELE-CAB-030.7</t>
  </si>
  <si>
    <t>CABO DE COBRE ISOLAMENTO ANTI-CHAMAS , SEÇÃO 16MM², 450/750V, FLEXÍVEL /VERDE-AMARELO</t>
  </si>
  <si>
    <t>5.1.7</t>
  </si>
  <si>
    <t>ELE-CAB-020.2</t>
  </si>
  <si>
    <t>CABO DE COBRE ISOLAMENTO ANTI-CHAMAS , SEÇÃO 6MM², 450/750V, FLEXÍVEL (PRETO)</t>
  </si>
  <si>
    <t>5.1.8</t>
  </si>
  <si>
    <t>ELE-CAB-020.5</t>
  </si>
  <si>
    <t>CABO DE COBRE ISOLAMENTO ANTI-CHAMAS , SEÇÃO 6MM², 450/750V, FLEXÍVEL (AZUL)</t>
  </si>
  <si>
    <t>5.1.9</t>
  </si>
  <si>
    <t>ELE-CAB-015.6</t>
  </si>
  <si>
    <t>CABO DE COBRE ISOLAMENTO ANTI-CHAMAS , SEÇÃO 4MM², 450/750V, FLEXÍVEL (VERDE)</t>
  </si>
  <si>
    <t>5.1.10</t>
  </si>
  <si>
    <t>ELE-CAB-020.6</t>
  </si>
  <si>
    <t>CABO DE COBRE ISOLAMENTO ANTI-CHAMAS , SEÇÃO 6MM², 450/750V, FLEXÍVEL (VERDE)</t>
  </si>
  <si>
    <t>5.1.11</t>
  </si>
  <si>
    <t>ELE-DIS-083</t>
  </si>
  <si>
    <t>DISJUNTOR TRIPOLAR TERMOMAGNÉTICO 5KA, DE 60A</t>
  </si>
  <si>
    <t>5.1.12</t>
  </si>
  <si>
    <t>ELE-DIS-060</t>
  </si>
  <si>
    <t>DISJUNTOR BIPOLAR TERMOMAGNÉTICO 5KA, DE 10A</t>
  </si>
  <si>
    <t>5.1.13</t>
  </si>
  <si>
    <t>ELE-DIS-061</t>
  </si>
  <si>
    <t>DISJUNTOR BIPOLAR TERMOMAGNÉTICO 5KA, DE 15A</t>
  </si>
  <si>
    <t>5.1.14</t>
  </si>
  <si>
    <t>ELE-CXS-370</t>
  </si>
  <si>
    <t xml:space="preserve">CAIXA DE PASSAGEM 15X15CM EM CHAPA DE FERRO COM TAMPA CEGA </t>
  </si>
  <si>
    <t>5.1.15</t>
  </si>
  <si>
    <t>ELE-ATE-005</t>
  </si>
  <si>
    <t>ATERRAMENTO COMPLETO, COM HASTES COPPERWLD 5/8'' X 2,40M</t>
  </si>
  <si>
    <t>5.1.16</t>
  </si>
  <si>
    <t>ELE-COR-005</t>
  </si>
  <si>
    <t xml:space="preserve">CABO COBRE NU # 6 MM² INCLUSIVE SUPORTE </t>
  </si>
  <si>
    <t>5.1.17</t>
  </si>
  <si>
    <t>SPDA-TER-045</t>
  </si>
  <si>
    <t>TERMINAL A COMPRESSÃO EM COBRE ESTANHADO PARA CABO 35MM²</t>
  </si>
  <si>
    <t>5.1.18</t>
  </si>
  <si>
    <t>ELE-LAM-057</t>
  </si>
  <si>
    <t>LÂMPADA MISTA DE 160W/220V</t>
  </si>
  <si>
    <t>5.1.19</t>
  </si>
  <si>
    <t>RELE FOTOLÉTRICO RM 10 120V, 1200VA COM BASE</t>
  </si>
  <si>
    <t>5.1.20</t>
  </si>
  <si>
    <t>ELE-POS-005</t>
  </si>
  <si>
    <t>POSTE DE AÇO GALVANIZADO A FOGO H-3,00 M , FIXAÇÃO POR BASE COM CHUMBADOR - COM DIFUSOR EM VIDRO  V-01 PARA LÂMPADA MISTA DE 160W</t>
  </si>
  <si>
    <t>PISOS</t>
  </si>
  <si>
    <t>6.1</t>
  </si>
  <si>
    <t xml:space="preserve">ÁREA DE LAZER </t>
  </si>
  <si>
    <t>6.1.1</t>
  </si>
  <si>
    <t>EXECUÇÃO DE CALÇAMENTO EM BLOQUETE -E=6CM, FCK=25MPA, INCLUINDO FORNECIMENTO E TRANSPORTE DE TODOS OS MATERIAIS, COLCHÃO DE ASSENTAMENTO E= 6CM</t>
  </si>
  <si>
    <t>6.1.2</t>
  </si>
  <si>
    <t>PIS-CER-005</t>
  </si>
  <si>
    <t xml:space="preserve">PISO CERÂMICO VERMELHO NATURAL 24X5,2 CM, ASSENTADO COM ARGAMASSA PRÉ-FABRICADA, INCUSIVE REJUNTAMENTO </t>
  </si>
  <si>
    <t>7.1</t>
  </si>
  <si>
    <t>ÁREA DE LAZER</t>
  </si>
  <si>
    <t>7.1.1</t>
  </si>
  <si>
    <t>ALV-BLO-010</t>
  </si>
  <si>
    <t xml:space="preserve">ALVENARIA DE BLOCO DE CONCRETO E= 15CM A REVESTIR , VEDAÇÃO </t>
  </si>
  <si>
    <t>7.1.2</t>
  </si>
  <si>
    <t>SEE-EST-045</t>
  </si>
  <si>
    <t>VIGA DE 0,21 A 0,35M DE LARGURA EM CONCRETO 20MPA, APARENTE, AFIRMAÇÃO, FORMA PLASTIFICADA, ESCORAMENTO DE DESFORMA</t>
  </si>
  <si>
    <t>M³</t>
  </si>
  <si>
    <t>7.1.3</t>
  </si>
  <si>
    <t>TER-ATE-015</t>
  </si>
  <si>
    <t xml:space="preserve">ATERRO COMPACTO MANUAL, COM SOQUETE </t>
  </si>
  <si>
    <t>7.1.4</t>
  </si>
  <si>
    <t>REV-CHA-005</t>
  </si>
  <si>
    <t xml:space="preserve">CHAPISCO DE PAREDES COM ARGAMASSA 1:3 CIMENTO E AREIA , A COLHER </t>
  </si>
  <si>
    <t>7.1.5</t>
  </si>
  <si>
    <t>REV-REB-010</t>
  </si>
  <si>
    <t xml:space="preserve">REBOCO COM ARGAMASSA 1:2:9 CIMENTO , CAL E AREIA COM ADITIVO IMPERMEABILIZANTE </t>
  </si>
  <si>
    <t>7.1.6</t>
  </si>
  <si>
    <t>7.1.7</t>
  </si>
  <si>
    <t>PINTURA ACRÍLICA, EM PAREDES, 2 DEMÃOS SEM MASSA CORRIDA, INCUSIVE FUNDO SELADOR</t>
  </si>
  <si>
    <t>7.1.8</t>
  </si>
  <si>
    <t>PIS-CIM-035</t>
  </si>
  <si>
    <t>PISO CIMENTADO DESEMPENADO E FELTRADO, ARGAMASSA 1:3, JUNTAS PL 17X30 E= 5CM, COM JUNTA DE 1X1M</t>
  </si>
  <si>
    <t>7.1.9</t>
  </si>
  <si>
    <t>SEE-EST-010</t>
  </si>
  <si>
    <t xml:space="preserve">PILARETE DE CONCRETO 17X20CM , CONCRETO 20MPA , APARENTE NA FACE EXTERNA, INCLUSIVE FORMA E AÇO, EM GUARDA-CORPO NAS CIRCULAÇÕES </t>
  </si>
  <si>
    <t>7.1.10</t>
  </si>
  <si>
    <t>SER-COR-015</t>
  </si>
  <si>
    <t>GUARDA-CORPO EM TUBO GALVANIZADO DIN 2440 D=2'', COM SUBDIVISÕES EM TUBO DE AÇO D= 1/2'', H=1,05M</t>
  </si>
  <si>
    <t>MEDIDO</t>
  </si>
  <si>
    <t>FALTA</t>
  </si>
  <si>
    <t>TOTAL DISPONÍVEL PARA TÉRMINA DA OBRA</t>
  </si>
  <si>
    <t>PROPONENTE: Prefeitura Municipal de Coração de Jesus</t>
  </si>
  <si>
    <t>%</t>
  </si>
  <si>
    <t>OBRA: Recapeamento Asfáltico em CBUQ</t>
  </si>
  <si>
    <t>LOCAL: Logradouros do Município</t>
  </si>
  <si>
    <t>OBR-VIA-165</t>
  </si>
  <si>
    <t>MOB-DES-010</t>
  </si>
  <si>
    <t>MOBILIZAÇÃO E DESMOBILIZAÇÃO DE OBRA</t>
  </si>
  <si>
    <t>OBR-VIA-435</t>
  </si>
  <si>
    <t>TXKM</t>
  </si>
  <si>
    <t>EXECUÇÃO DE PINTURA DE LIGAÇÃO COM MATERIAL BETUMINOSO, INCLUINDO FORNECIMENTO E TRANSPORTE DO MATERIAL BETUMINOSO DENTRO DO CANTEIRO DE OBRAS, EXCLUSIVE TRANSPORTE DO MATERIAL BETUMINOSO ATÉ A OBRA</t>
  </si>
  <si>
    <t>Engª. Civil Adenise de Sousa Martins</t>
  </si>
  <si>
    <t>CREA: 194.745/D-MG</t>
  </si>
  <si>
    <t>Robson Adalberto Mota Dias - Prefeito Municipal de Coração de Jesus</t>
  </si>
  <si>
    <t>TRANSPORTE DE MATERIAL DE QUALQUER NATUREZA DMT ACIMA DE 50 KM (CBUQ) USINA - PISTA</t>
  </si>
  <si>
    <t>2.4</t>
  </si>
  <si>
    <t>TRANSPORTE DE MATERIAL DE QUALQUER NATUREZA DMT ACIMA DE 50 KM BETIM - OBRA</t>
  </si>
  <si>
    <t>SERVIÇOS PRELIMINARES</t>
  </si>
  <si>
    <t>M³XKM</t>
  </si>
  <si>
    <t>2.5</t>
  </si>
  <si>
    <t>2.6</t>
  </si>
  <si>
    <t>OBR-VIA-370</t>
  </si>
  <si>
    <t>TRANSPORTE DE AGREGADO DMT ACIMA DE 50 KM - AREIA</t>
  </si>
  <si>
    <t>OBR-VIA-345</t>
  </si>
  <si>
    <t>TRANSPORTE DE AGREGADO DMT DE 0 A 10 KM - BRITA</t>
  </si>
  <si>
    <t>TRANSPORTE DE MATERIAL DE QUALQUER NATUREZA DMT ACIMA DE 50 KM (CAP-20) - BETIM-USINA</t>
  </si>
  <si>
    <t>BDI (conforme Ácordão Nº 2622/13)- Construção de Rodovias e Ferrovias</t>
  </si>
  <si>
    <t>2.7</t>
  </si>
  <si>
    <t>Eng. Civil Adenise de Sousa Martins</t>
  </si>
  <si>
    <t>CREA-MG</t>
  </si>
  <si>
    <t>194.745/D</t>
  </si>
  <si>
    <t>REGIÃO/MÊS DE REFERÊNCIA: SETOP Região Norte/MG - Abril/2019 - Sem Desoneração</t>
  </si>
  <si>
    <t>OBR-VIA-180</t>
  </si>
  <si>
    <t>CONCRETO BETUMINOSO USINADO A QUENTE-CBUQ (EXECUÇÃO, INCLUINDO USINAGEM, APLICAÇÃO, ESPALHAMENTO E COMPACTAÇÃO, FORNECIMENTO DOS AGREGADOS E MATERIAL BETUMINOSO, EXCLUI TRANSPORTE DOS AGREGADOS E DO MATERIAL BETUMINOSO ATÉ USINA E DA MASSA PRONTA ATÉ A PISTA)</t>
  </si>
  <si>
    <t>3.5</t>
  </si>
  <si>
    <t>3.6</t>
  </si>
  <si>
    <t>3.7</t>
  </si>
  <si>
    <t>4.2</t>
  </si>
  <si>
    <t>4.3</t>
  </si>
  <si>
    <t>4.4</t>
  </si>
  <si>
    <t>4.5</t>
  </si>
  <si>
    <t>4.6</t>
  </si>
  <si>
    <t>4.7</t>
  </si>
  <si>
    <t>5.2</t>
  </si>
  <si>
    <t>5.3</t>
  </si>
  <si>
    <t>5.4</t>
  </si>
  <si>
    <t>5.5</t>
  </si>
  <si>
    <t>5.6</t>
  </si>
  <si>
    <t>5.7</t>
  </si>
  <si>
    <t>6.2</t>
  </si>
  <si>
    <t>6.3</t>
  </si>
  <si>
    <t>6.4</t>
  </si>
  <si>
    <t>6.5</t>
  </si>
  <si>
    <t>6.6</t>
  </si>
  <si>
    <t>6.7</t>
  </si>
  <si>
    <t>7.2</t>
  </si>
  <si>
    <t>7.3</t>
  </si>
  <si>
    <t>7.4</t>
  </si>
  <si>
    <t>7.5</t>
  </si>
  <si>
    <t>7.6</t>
  </si>
  <si>
    <t>7.7</t>
  </si>
  <si>
    <t>8.1</t>
  </si>
  <si>
    <t>8.2</t>
  </si>
  <si>
    <t>8.3</t>
  </si>
  <si>
    <t>8.4</t>
  </si>
  <si>
    <t>8.5</t>
  </si>
  <si>
    <t>8.6</t>
  </si>
  <si>
    <t>8.7</t>
  </si>
  <si>
    <t>9.1</t>
  </si>
  <si>
    <t>9.2</t>
  </si>
  <si>
    <t>9.3</t>
  </si>
  <si>
    <t>9.4</t>
  </si>
  <si>
    <t>9.5</t>
  </si>
  <si>
    <t>9.6</t>
  </si>
  <si>
    <t>9.7</t>
  </si>
  <si>
    <t>10.1</t>
  </si>
  <si>
    <t>10.2</t>
  </si>
  <si>
    <t>10.3</t>
  </si>
  <si>
    <t>10.4</t>
  </si>
  <si>
    <t>10.5</t>
  </si>
  <si>
    <t>10.6</t>
  </si>
  <si>
    <t>10.7</t>
  </si>
  <si>
    <t>11.1</t>
  </si>
  <si>
    <t>11.2</t>
  </si>
  <si>
    <t>11.3</t>
  </si>
  <si>
    <t>11.4</t>
  </si>
  <si>
    <t>11.5</t>
  </si>
  <si>
    <t>11.6</t>
  </si>
  <si>
    <t>11.7</t>
  </si>
  <si>
    <t>12.1</t>
  </si>
  <si>
    <t>12.2</t>
  </si>
  <si>
    <t>12.3</t>
  </si>
  <si>
    <t>12.4</t>
  </si>
  <si>
    <t>12.5</t>
  </si>
  <si>
    <t>12.6</t>
  </si>
  <si>
    <t>12.7</t>
  </si>
  <si>
    <t>RUA PEDRO ARAUJO</t>
  </si>
  <si>
    <t>RUA BAHIA</t>
  </si>
  <si>
    <t>RUA JOSE LUIZ BARBOSA</t>
  </si>
  <si>
    <t>RUA NOZINHO PRATES</t>
  </si>
  <si>
    <t>RUA JOSE OLEGARIO L.</t>
  </si>
  <si>
    <t>RUA AMINTAS SALES</t>
  </si>
  <si>
    <t>RUA ALVARO AUGUSTO DE LELIS</t>
  </si>
  <si>
    <t>RUA JUCA DE QUEIROZ</t>
  </si>
  <si>
    <t>RUA FILOGONIO LAGOEIRO</t>
  </si>
  <si>
    <t>RUA JESUS CHATEUBRIAND</t>
  </si>
  <si>
    <t>13.1</t>
  </si>
  <si>
    <t>13.2</t>
  </si>
  <si>
    <t>13.3</t>
  </si>
  <si>
    <t>13.4</t>
  </si>
  <si>
    <t>13.5</t>
  </si>
  <si>
    <t>13.6</t>
  </si>
  <si>
    <t>13.7</t>
  </si>
  <si>
    <t>MEMORIAL DE CÁLCULO</t>
  </si>
  <si>
    <t xml:space="preserve">PREFEITURA MUNICIPAL DE CORAÇÃO DE JESUS/MG </t>
  </si>
  <si>
    <r>
      <t xml:space="preserve">CNPJ: </t>
    </r>
    <r>
      <rPr>
        <sz val="9"/>
        <color indexed="8"/>
        <rFont val="Arial Narrow"/>
        <family val="2"/>
      </rPr>
      <t>22.680.672/0001-28</t>
    </r>
  </si>
  <si>
    <r>
      <t xml:space="preserve">OBRA: </t>
    </r>
    <r>
      <rPr>
        <sz val="9"/>
        <color indexed="8"/>
        <rFont val="Arial Narrow"/>
        <family val="2"/>
      </rPr>
      <t>RECAPEAMENTO ASFÁLTICO EM CBUQ</t>
    </r>
  </si>
  <si>
    <r>
      <t xml:space="preserve">LOCAL: </t>
    </r>
    <r>
      <rPr>
        <sz val="8"/>
        <color indexed="8"/>
        <rFont val="Arial Narrow"/>
        <family val="2"/>
      </rPr>
      <t xml:space="preserve"> LOGRADOUROS DO MUNICÍPIO</t>
    </r>
  </si>
  <si>
    <t>LOGRADOURO</t>
  </si>
  <si>
    <t>COMP.</t>
  </si>
  <si>
    <t>LARG. MÉDIA</t>
  </si>
  <si>
    <t>ÁREA</t>
  </si>
  <si>
    <t>VALOR POR RUA</t>
  </si>
  <si>
    <t>RUA PROF. QUERINO ALBUQUERQUE</t>
  </si>
  <si>
    <t>RUA ÁLVARO AUGUSTO DE LÉLIS</t>
  </si>
  <si>
    <t>RUA FRANCISCO ANTUNES FERREIRA</t>
  </si>
  <si>
    <t>SERVIÇO</t>
  </si>
  <si>
    <t>SETOP</t>
  </si>
  <si>
    <t>VOLUME</t>
  </si>
  <si>
    <t>TAXA</t>
  </si>
  <si>
    <t>TRANSPORTE</t>
  </si>
  <si>
    <t>V. UNIT.    TOTAL</t>
  </si>
  <si>
    <t>M³/M³</t>
  </si>
  <si>
    <t>TRANSPORTE DE MATERIAL DE QUALQUER NATUREZA DMT ACIMA DE 50 KM BETIM - OBRA - DTM 470 KM</t>
  </si>
  <si>
    <t>TON X KM</t>
  </si>
  <si>
    <t>V. UNIT. TOTAL</t>
  </si>
  <si>
    <t>T/M²</t>
  </si>
  <si>
    <t>ESPESSURA</t>
  </si>
  <si>
    <t>PESO</t>
  </si>
  <si>
    <t>TON</t>
  </si>
  <si>
    <t>TRANSPORTE DE AGREGADO DMT ACIMA DE 50 KM - AREIA - 170 KM</t>
  </si>
  <si>
    <t>PORC/M³</t>
  </si>
  <si>
    <t>TRANSPORTE DE AGREGADO DMT DE 0 A 10 KM - BRITA - 5 KM</t>
  </si>
  <si>
    <t>TON/M³</t>
  </si>
  <si>
    <t>M³/M²</t>
  </si>
  <si>
    <t>TRANSPORTE DE MATERIAL DE QUALQUER NATUREZA DMT ACIMA DE 50 KM (CAP-20) - BETIM-USINA/MONTES CLAROS</t>
  </si>
  <si>
    <t>TRANSPORTE DE MATERIAL DE QUALQUER NATUREZA DMT ACIMA DE 50 KM (CBUQ) - USINA-PISTA - MONTES CLAROS-OBRA</t>
  </si>
  <si>
    <t>-</t>
  </si>
  <si>
    <t>7</t>
  </si>
  <si>
    <t>13</t>
  </si>
  <si>
    <t>MÊS 6</t>
  </si>
  <si>
    <t>PRAZO DE EXECUÇÃO: 06 Meses</t>
  </si>
  <si>
    <t>RUA FRANCISCO ANTUNES</t>
  </si>
  <si>
    <t xml:space="preserve">VALOR: </t>
  </si>
  <si>
    <r>
      <t>DATA:</t>
    </r>
    <r>
      <rPr>
        <sz val="8"/>
        <color indexed="8"/>
        <rFont val="Arial Narrow"/>
        <family val="2"/>
      </rPr>
      <t xml:space="preserve"> 02/09/2019</t>
    </r>
  </si>
  <si>
    <t>DATA: 02/09/2019</t>
  </si>
</sst>
</file>

<file path=xl/styles.xml><?xml version="1.0" encoding="utf-8"?>
<styleSheet xmlns="http://schemas.openxmlformats.org/spreadsheetml/2006/main">
  <numFmts count="11">
    <numFmt numFmtId="8" formatCode="&quot;R$&quot;\ #,##0.00;[Red]\-&quot;R$&quot;\ #,##0.00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 &quot;#,##0.00"/>
    <numFmt numFmtId="167" formatCode="&quot;R$&quot;\ #,##0.00"/>
    <numFmt numFmtId="168" formatCode="0.0000"/>
    <numFmt numFmtId="169" formatCode="#,##0.000"/>
    <numFmt numFmtId="170" formatCode="#,##0.0000"/>
    <numFmt numFmtId="171" formatCode="&quot;R$&quot;#,##0.00"/>
    <numFmt numFmtId="172" formatCode="0.0000000000000"/>
  </numFmts>
  <fonts count="26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color indexed="8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9"/>
      <color theme="1"/>
      <name val="Arial"/>
      <family val="2"/>
    </font>
    <font>
      <b/>
      <sz val="13"/>
      <color theme="1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54">
    <xf numFmtId="0" fontId="0" fillId="0" borderId="0" xfId="0"/>
    <xf numFmtId="0" fontId="0" fillId="0" borderId="0" xfId="0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2" fontId="2" fillId="0" borderId="9" xfId="10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165" fontId="2" fillId="0" borderId="9" xfId="10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2" fontId="2" fillId="0" borderId="11" xfId="1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" fillId="0" borderId="0" xfId="0" applyFont="1"/>
    <xf numFmtId="0" fontId="6" fillId="0" borderId="13" xfId="0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2" fontId="2" fillId="0" borderId="14" xfId="10" applyNumberFormat="1" applyFont="1" applyFill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10" fontId="3" fillId="0" borderId="19" xfId="8" applyNumberFormat="1" applyFont="1" applyFill="1" applyBorder="1" applyAlignment="1">
      <alignment horizontal="center" vertical="center"/>
    </xf>
    <xf numFmtId="0" fontId="5" fillId="2" borderId="0" xfId="3" applyFill="1"/>
    <xf numFmtId="0" fontId="5" fillId="2" borderId="0" xfId="3" applyFill="1" applyAlignment="1">
      <alignment wrapText="1"/>
    </xf>
    <xf numFmtId="0" fontId="5" fillId="0" borderId="0" xfId="3"/>
    <xf numFmtId="2" fontId="5" fillId="0" borderId="0" xfId="3" applyNumberFormat="1"/>
    <xf numFmtId="0" fontId="5" fillId="0" borderId="0" xfId="3" applyAlignment="1"/>
    <xf numFmtId="0" fontId="5" fillId="0" borderId="0" xfId="3" applyAlignment="1">
      <alignment horizontal="center" vertical="center"/>
    </xf>
    <xf numFmtId="2" fontId="3" fillId="0" borderId="20" xfId="3" applyNumberFormat="1" applyFont="1" applyBorder="1" applyAlignment="1">
      <alignment horizontal="center"/>
    </xf>
    <xf numFmtId="2" fontId="5" fillId="0" borderId="20" xfId="3" applyNumberFormat="1" applyBorder="1" applyAlignment="1">
      <alignment horizontal="center"/>
    </xf>
    <xf numFmtId="0" fontId="5" fillId="0" borderId="20" xfId="3" applyBorder="1" applyAlignment="1">
      <alignment horizontal="center"/>
    </xf>
    <xf numFmtId="2" fontId="6" fillId="0" borderId="9" xfId="10" applyNumberFormat="1" applyFont="1" applyFill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3" fillId="0" borderId="0" xfId="0" applyFont="1"/>
    <xf numFmtId="0" fontId="6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8" fontId="0" fillId="0" borderId="0" xfId="0" applyNumberFormat="1"/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0" xfId="0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quotePrefix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0" fillId="0" borderId="20" xfId="0" applyBorder="1" applyAlignment="1">
      <alignment horizontal="center" vertical="center"/>
    </xf>
    <xf numFmtId="0" fontId="0" fillId="0" borderId="20" xfId="0" applyBorder="1" applyAlignment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0" xfId="0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justify"/>
    </xf>
    <xf numFmtId="0" fontId="0" fillId="0" borderId="20" xfId="0" applyBorder="1" applyAlignment="1">
      <alignment vertical="justify"/>
    </xf>
    <xf numFmtId="0" fontId="0" fillId="3" borderId="2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8" fontId="0" fillId="0" borderId="20" xfId="0" applyNumberFormat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3" borderId="20" xfId="0" applyNumberFormat="1" applyFill="1" applyBorder="1" applyAlignment="1">
      <alignment horizontal="center"/>
    </xf>
    <xf numFmtId="8" fontId="12" fillId="0" borderId="20" xfId="0" applyNumberFormat="1" applyFont="1" applyBorder="1"/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/>
    <xf numFmtId="0" fontId="3" fillId="0" borderId="20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8" fontId="3" fillId="0" borderId="20" xfId="0" applyNumberFormat="1" applyFont="1" applyBorder="1" applyAlignment="1">
      <alignment horizontal="center"/>
    </xf>
    <xf numFmtId="167" fontId="3" fillId="0" borderId="20" xfId="0" applyNumberFormat="1" applyFont="1" applyBorder="1" applyAlignment="1">
      <alignment horizontal="center"/>
    </xf>
    <xf numFmtId="0" fontId="3" fillId="0" borderId="20" xfId="10" applyNumberFormat="1" applyFont="1" applyBorder="1" applyAlignment="1">
      <alignment horizontal="center" vertical="center"/>
    </xf>
    <xf numFmtId="10" fontId="0" fillId="0" borderId="0" xfId="8" applyNumberFormat="1" applyFont="1"/>
    <xf numFmtId="167" fontId="0" fillId="0" borderId="0" xfId="0" applyNumberFormat="1"/>
    <xf numFmtId="0" fontId="3" fillId="5" borderId="20" xfId="0" applyFont="1" applyFill="1" applyBorder="1" applyAlignment="1">
      <alignment horizontal="center" vertical="center"/>
    </xf>
    <xf numFmtId="0" fontId="3" fillId="5" borderId="20" xfId="0" applyFont="1" applyFill="1" applyBorder="1"/>
    <xf numFmtId="0" fontId="3" fillId="5" borderId="20" xfId="0" applyFont="1" applyFill="1" applyBorder="1" applyAlignment="1">
      <alignment horizontal="center"/>
    </xf>
    <xf numFmtId="167" fontId="3" fillId="5" borderId="20" xfId="0" applyNumberFormat="1" applyFont="1" applyFill="1" applyBorder="1" applyAlignment="1">
      <alignment horizontal="center"/>
    </xf>
    <xf numFmtId="8" fontId="3" fillId="5" borderId="20" xfId="0" applyNumberFormat="1" applyFont="1" applyFill="1" applyBorder="1" applyAlignment="1">
      <alignment horizontal="center"/>
    </xf>
    <xf numFmtId="0" fontId="3" fillId="5" borderId="0" xfId="0" applyFont="1" applyFill="1"/>
    <xf numFmtId="0" fontId="3" fillId="5" borderId="20" xfId="10" applyNumberFormat="1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/>
    </xf>
    <xf numFmtId="0" fontId="0" fillId="5" borderId="20" xfId="0" applyFill="1" applyBorder="1"/>
    <xf numFmtId="167" fontId="0" fillId="5" borderId="20" xfId="0" applyNumberFormat="1" applyFill="1" applyBorder="1" applyAlignment="1">
      <alignment horizontal="center"/>
    </xf>
    <xf numFmtId="8" fontId="0" fillId="5" borderId="20" xfId="0" applyNumberFormat="1" applyFill="1" applyBorder="1" applyAlignment="1">
      <alignment horizontal="center"/>
    </xf>
    <xf numFmtId="0" fontId="0" fillId="5" borderId="0" xfId="0" applyFill="1"/>
    <xf numFmtId="10" fontId="3" fillId="5" borderId="0" xfId="0" applyNumberFormat="1" applyFont="1" applyFill="1"/>
    <xf numFmtId="4" fontId="2" fillId="0" borderId="16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2" fillId="0" borderId="16" xfId="1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left" vertical="center" wrapText="1"/>
    </xf>
    <xf numFmtId="4" fontId="2" fillId="0" borderId="9" xfId="10" applyNumberFormat="1" applyFont="1" applyFill="1" applyBorder="1" applyAlignment="1">
      <alignment horizontal="center" vertical="center" wrapText="1"/>
    </xf>
    <xf numFmtId="4" fontId="6" fillId="0" borderId="9" xfId="10" applyNumberFormat="1" applyFont="1" applyFill="1" applyBorder="1" applyAlignment="1">
      <alignment horizontal="center" vertical="center" wrapText="1"/>
    </xf>
    <xf numFmtId="0" fontId="5" fillId="0" borderId="20" xfId="0" applyFont="1" applyBorder="1"/>
    <xf numFmtId="0" fontId="5" fillId="0" borderId="0" xfId="0" applyFont="1"/>
    <xf numFmtId="4" fontId="2" fillId="0" borderId="22" xfId="10" applyNumberFormat="1" applyFont="1" applyFill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2" fontId="5" fillId="0" borderId="0" xfId="0" applyNumberFormat="1" applyFont="1"/>
    <xf numFmtId="4" fontId="6" fillId="0" borderId="25" xfId="0" applyNumberFormat="1" applyFont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center" vertical="center"/>
    </xf>
    <xf numFmtId="0" fontId="20" fillId="0" borderId="27" xfId="0" applyFont="1" applyBorder="1" applyAlignment="1">
      <alignment wrapText="1"/>
    </xf>
    <xf numFmtId="0" fontId="20" fillId="0" borderId="9" xfId="0" applyFont="1" applyBorder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wrapText="1"/>
    </xf>
    <xf numFmtId="4" fontId="21" fillId="0" borderId="20" xfId="0" applyNumberFormat="1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4" fontId="21" fillId="0" borderId="28" xfId="0" applyNumberFormat="1" applyFont="1" applyFill="1" applyBorder="1" applyAlignment="1">
      <alignment horizontal="center" vertical="center" wrapText="1"/>
    </xf>
    <xf numFmtId="167" fontId="21" fillId="0" borderId="29" xfId="0" applyNumberFormat="1" applyFont="1" applyFill="1" applyBorder="1" applyAlignment="1">
      <alignment horizontal="center" vertical="center" wrapText="1"/>
    </xf>
    <xf numFmtId="4" fontId="21" fillId="0" borderId="20" xfId="0" applyNumberFormat="1" applyFont="1" applyFill="1" applyBorder="1" applyAlignment="1">
      <alignment horizontal="center" vertical="center"/>
    </xf>
    <xf numFmtId="2" fontId="21" fillId="0" borderId="20" xfId="0" applyNumberFormat="1" applyFont="1" applyFill="1" applyBorder="1" applyAlignment="1">
      <alignment horizontal="center" vertical="center"/>
    </xf>
    <xf numFmtId="4" fontId="21" fillId="0" borderId="28" xfId="0" applyNumberFormat="1" applyFont="1" applyFill="1" applyBorder="1" applyAlignment="1">
      <alignment horizontal="center" vertical="center"/>
    </xf>
    <xf numFmtId="4" fontId="21" fillId="0" borderId="29" xfId="0" applyNumberFormat="1" applyFont="1" applyFill="1" applyBorder="1" applyAlignment="1">
      <alignment horizontal="center" vertical="center"/>
    </xf>
    <xf numFmtId="169" fontId="21" fillId="0" borderId="20" xfId="0" applyNumberFormat="1" applyFont="1" applyFill="1" applyBorder="1" applyAlignment="1">
      <alignment horizontal="center" vertical="center"/>
    </xf>
    <xf numFmtId="4" fontId="22" fillId="0" borderId="30" xfId="0" applyNumberFormat="1" applyFont="1" applyFill="1" applyBorder="1" applyAlignment="1">
      <alignment horizontal="center" vertical="center"/>
    </xf>
    <xf numFmtId="4" fontId="22" fillId="0" borderId="31" xfId="0" applyNumberFormat="1" applyFont="1" applyFill="1" applyBorder="1" applyAlignment="1">
      <alignment horizontal="center" vertical="center"/>
    </xf>
    <xf numFmtId="0" fontId="21" fillId="0" borderId="0" xfId="0" applyFont="1"/>
    <xf numFmtId="0" fontId="22" fillId="0" borderId="32" xfId="0" applyNumberFormat="1" applyFont="1" applyFill="1" applyBorder="1" applyAlignment="1">
      <alignment horizontal="center" vertical="center"/>
    </xf>
    <xf numFmtId="0" fontId="22" fillId="0" borderId="33" xfId="0" applyNumberFormat="1" applyFont="1" applyFill="1" applyBorder="1" applyAlignment="1">
      <alignment horizontal="center" vertical="center"/>
    </xf>
    <xf numFmtId="0" fontId="22" fillId="0" borderId="34" xfId="0" applyNumberFormat="1" applyFont="1" applyFill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 wrapText="1"/>
    </xf>
    <xf numFmtId="4" fontId="21" fillId="0" borderId="36" xfId="0" applyNumberFormat="1" applyFont="1" applyFill="1" applyBorder="1" applyAlignment="1">
      <alignment horizontal="center" vertical="center" wrapText="1"/>
    </xf>
    <xf numFmtId="4" fontId="21" fillId="0" borderId="37" xfId="0" applyNumberFormat="1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171" fontId="2" fillId="0" borderId="29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2" fillId="0" borderId="30" xfId="0" applyNumberFormat="1" applyFont="1" applyFill="1" applyBorder="1" applyAlignment="1">
      <alignment vertical="center"/>
    </xf>
    <xf numFmtId="0" fontId="22" fillId="0" borderId="35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1" fillId="0" borderId="37" xfId="0" applyFont="1" applyFill="1" applyBorder="1" applyAlignment="1">
      <alignment horizontal="center" vertical="center" wrapText="1"/>
    </xf>
    <xf numFmtId="167" fontId="21" fillId="0" borderId="29" xfId="0" applyNumberFormat="1" applyFont="1" applyBorder="1" applyAlignment="1">
      <alignment horizontal="center"/>
    </xf>
    <xf numFmtId="170" fontId="21" fillId="0" borderId="20" xfId="0" applyNumberFormat="1" applyFont="1" applyFill="1" applyBorder="1" applyAlignment="1">
      <alignment horizontal="center" vertical="center"/>
    </xf>
    <xf numFmtId="168" fontId="0" fillId="0" borderId="0" xfId="0" applyNumberFormat="1"/>
    <xf numFmtId="49" fontId="6" fillId="0" borderId="20" xfId="0" applyNumberFormat="1" applyFont="1" applyBorder="1" applyAlignment="1">
      <alignment horizontal="center" vertical="center" wrapText="1"/>
    </xf>
    <xf numFmtId="0" fontId="21" fillId="0" borderId="39" xfId="0" applyFont="1" applyBorder="1"/>
    <xf numFmtId="0" fontId="21" fillId="0" borderId="40" xfId="0" applyFont="1" applyBorder="1"/>
    <xf numFmtId="0" fontId="21" fillId="0" borderId="41" xfId="0" applyFont="1" applyBorder="1"/>
    <xf numFmtId="10" fontId="21" fillId="0" borderId="28" xfId="0" applyNumberFormat="1" applyFont="1" applyFill="1" applyBorder="1" applyAlignment="1">
      <alignment horizontal="center" vertical="center"/>
    </xf>
    <xf numFmtId="172" fontId="0" fillId="0" borderId="0" xfId="0" applyNumberFormat="1"/>
    <xf numFmtId="0" fontId="21" fillId="0" borderId="28" xfId="0" applyNumberFormat="1" applyFont="1" applyFill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wrapText="1"/>
    </xf>
    <xf numFmtId="2" fontId="21" fillId="0" borderId="28" xfId="0" applyNumberFormat="1" applyFont="1" applyFill="1" applyBorder="1" applyAlignment="1">
      <alignment horizontal="center" vertical="center"/>
    </xf>
    <xf numFmtId="0" fontId="3" fillId="2" borderId="20" xfId="3" applyFont="1" applyFill="1" applyBorder="1" applyAlignment="1">
      <alignment horizontal="center" vertical="center"/>
    </xf>
    <xf numFmtId="0" fontId="3" fillId="2" borderId="20" xfId="3" applyFont="1" applyFill="1" applyBorder="1" applyAlignment="1">
      <alignment horizontal="center" vertical="center" wrapText="1"/>
    </xf>
    <xf numFmtId="49" fontId="7" fillId="2" borderId="20" xfId="3" applyNumberFormat="1" applyFont="1" applyFill="1" applyBorder="1" applyAlignment="1">
      <alignment horizontal="center" vertical="top" wrapText="1"/>
    </xf>
    <xf numFmtId="10" fontId="8" fillId="2" borderId="20" xfId="3" applyNumberFormat="1" applyFont="1" applyFill="1" applyBorder="1" applyAlignment="1">
      <alignment vertical="top" wrapText="1"/>
    </xf>
    <xf numFmtId="10" fontId="7" fillId="2" borderId="20" xfId="3" applyNumberFormat="1" applyFont="1" applyFill="1" applyBorder="1" applyAlignment="1">
      <alignment vertical="top" wrapText="1"/>
    </xf>
    <xf numFmtId="10" fontId="7" fillId="2" borderId="20" xfId="13" applyNumberFormat="1" applyFont="1" applyFill="1" applyBorder="1" applyAlignment="1">
      <alignment vertical="top" wrapText="1"/>
    </xf>
    <xf numFmtId="166" fontId="7" fillId="2" borderId="20" xfId="3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/>
    </xf>
    <xf numFmtId="49" fontId="8" fillId="2" borderId="20" xfId="3" applyNumberFormat="1" applyFont="1" applyFill="1" applyBorder="1" applyAlignment="1">
      <alignment horizontal="center" vertical="top" wrapText="1"/>
    </xf>
    <xf numFmtId="0" fontId="3" fillId="2" borderId="35" xfId="3" applyFont="1" applyFill="1" applyBorder="1" applyAlignment="1">
      <alignment horizontal="center" vertical="center"/>
    </xf>
    <xf numFmtId="0" fontId="3" fillId="2" borderId="29" xfId="3" applyFont="1" applyFill="1" applyBorder="1" applyAlignment="1">
      <alignment horizontal="center" vertical="center"/>
    </xf>
    <xf numFmtId="10" fontId="7" fillId="2" borderId="29" xfId="3" applyNumberFormat="1" applyFont="1" applyFill="1" applyBorder="1" applyAlignment="1">
      <alignment vertical="top" wrapText="1"/>
    </xf>
    <xf numFmtId="166" fontId="7" fillId="2" borderId="29" xfId="3" applyNumberFormat="1" applyFont="1" applyFill="1" applyBorder="1" applyAlignment="1">
      <alignment vertical="top" wrapText="1"/>
    </xf>
    <xf numFmtId="4" fontId="3" fillId="0" borderId="0" xfId="0" applyNumberFormat="1" applyFont="1"/>
    <xf numFmtId="49" fontId="8" fillId="2" borderId="30" xfId="3" applyNumberFormat="1" applyFont="1" applyFill="1" applyBorder="1" applyAlignment="1">
      <alignment horizontal="center" vertical="top" wrapText="1"/>
    </xf>
    <xf numFmtId="166" fontId="8" fillId="2" borderId="30" xfId="3" applyNumberFormat="1" applyFont="1" applyFill="1" applyBorder="1" applyAlignment="1">
      <alignment vertical="top" wrapText="1"/>
    </xf>
    <xf numFmtId="10" fontId="5" fillId="2" borderId="0" xfId="3" applyNumberFormat="1" applyFill="1"/>
    <xf numFmtId="2" fontId="5" fillId="2" borderId="0" xfId="3" applyNumberFormat="1" applyFill="1"/>
    <xf numFmtId="166" fontId="5" fillId="2" borderId="0" xfId="3" applyNumberFormat="1" applyFill="1"/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2" xfId="3" applyFont="1" applyBorder="1" applyAlignment="1">
      <alignment horizontal="center"/>
    </xf>
    <xf numFmtId="0" fontId="3" fillId="0" borderId="43" xfId="3" applyFont="1" applyBorder="1" applyAlignment="1">
      <alignment horizontal="center"/>
    </xf>
    <xf numFmtId="0" fontId="3" fillId="0" borderId="44" xfId="3" applyFont="1" applyBorder="1" applyAlignment="1">
      <alignment horizontal="left" vertical="center"/>
    </xf>
    <xf numFmtId="0" fontId="5" fillId="0" borderId="20" xfId="3" applyBorder="1" applyAlignment="1">
      <alignment horizontal="right"/>
    </xf>
    <xf numFmtId="10" fontId="5" fillId="0" borderId="20" xfId="9" applyNumberFormat="1" applyFont="1" applyBorder="1" applyAlignment="1">
      <alignment horizontal="center"/>
    </xf>
    <xf numFmtId="0" fontId="5" fillId="0" borderId="0" xfId="3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10" fontId="3" fillId="0" borderId="20" xfId="9" applyNumberFormat="1" applyFont="1" applyBorder="1" applyAlignment="1">
      <alignment horizontal="center" vertical="center"/>
    </xf>
    <xf numFmtId="0" fontId="3" fillId="0" borderId="36" xfId="3" applyFont="1" applyBorder="1" applyAlignment="1">
      <alignment horizontal="center" vertical="top"/>
    </xf>
    <xf numFmtId="0" fontId="3" fillId="0" borderId="37" xfId="3" applyFont="1" applyBorder="1" applyAlignment="1">
      <alignment horizontal="center" vertical="top"/>
    </xf>
    <xf numFmtId="0" fontId="3" fillId="0" borderId="20" xfId="3" applyFont="1" applyBorder="1" applyAlignment="1">
      <alignment horizontal="center"/>
    </xf>
    <xf numFmtId="2" fontId="3" fillId="0" borderId="20" xfId="3" applyNumberFormat="1" applyFont="1" applyBorder="1" applyAlignment="1">
      <alignment horizontal="center"/>
    </xf>
    <xf numFmtId="10" fontId="5" fillId="0" borderId="20" xfId="3" applyNumberFormat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left" vertical="top"/>
    </xf>
    <xf numFmtId="0" fontId="3" fillId="0" borderId="51" xfId="0" applyFont="1" applyFill="1" applyBorder="1" applyAlignment="1">
      <alignment horizontal="left" vertical="top"/>
    </xf>
    <xf numFmtId="0" fontId="3" fillId="0" borderId="52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0" fontId="3" fillId="0" borderId="2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/>
    <xf numFmtId="0" fontId="0" fillId="0" borderId="20" xfId="0" applyBorder="1" applyAlignment="1">
      <alignment horizontal="left"/>
    </xf>
    <xf numFmtId="0" fontId="3" fillId="0" borderId="20" xfId="0" applyFont="1" applyBorder="1" applyAlignment="1">
      <alignment horizontal="left"/>
    </xf>
    <xf numFmtId="0" fontId="0" fillId="0" borderId="20" xfId="0" applyBorder="1"/>
    <xf numFmtId="0" fontId="0" fillId="0" borderId="20" xfId="0" applyBorder="1" applyAlignment="1">
      <alignment horizontal="center"/>
    </xf>
    <xf numFmtId="0" fontId="3" fillId="0" borderId="20" xfId="0" applyFont="1" applyBorder="1"/>
    <xf numFmtId="0" fontId="0" fillId="0" borderId="20" xfId="0" applyBorder="1" applyAlignment="1">
      <alignment horizontal="left" vertical="justify"/>
    </xf>
    <xf numFmtId="0" fontId="12" fillId="0" borderId="20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7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1" xfId="3" applyFill="1" applyBorder="1" applyAlignment="1">
      <alignment horizontal="center"/>
    </xf>
    <xf numFmtId="0" fontId="5" fillId="2" borderId="2" xfId="3" applyFill="1" applyBorder="1" applyAlignment="1">
      <alignment horizontal="center"/>
    </xf>
    <xf numFmtId="0" fontId="5" fillId="2" borderId="3" xfId="3" applyFill="1" applyBorder="1" applyAlignment="1">
      <alignment horizontal="center"/>
    </xf>
    <xf numFmtId="0" fontId="3" fillId="2" borderId="59" xfId="3" applyFont="1" applyFill="1" applyBorder="1" applyAlignment="1">
      <alignment horizontal="center" vertical="center"/>
    </xf>
    <xf numFmtId="0" fontId="3" fillId="2" borderId="36" xfId="3" applyFont="1" applyFill="1" applyBorder="1" applyAlignment="1">
      <alignment horizontal="center" vertical="center"/>
    </xf>
    <xf numFmtId="0" fontId="3" fillId="2" borderId="60" xfId="3" applyFont="1" applyFill="1" applyBorder="1" applyAlignment="1">
      <alignment horizontal="center" vertical="center"/>
    </xf>
    <xf numFmtId="0" fontId="3" fillId="2" borderId="20" xfId="3" applyFont="1" applyFill="1" applyBorder="1" applyAlignment="1">
      <alignment horizontal="left" vertical="center"/>
    </xf>
    <xf numFmtId="0" fontId="3" fillId="2" borderId="29" xfId="3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 wrapText="1"/>
    </xf>
    <xf numFmtId="0" fontId="3" fillId="2" borderId="35" xfId="3" applyFont="1" applyFill="1" applyBorder="1" applyAlignment="1">
      <alignment horizontal="center" vertical="center" wrapText="1"/>
    </xf>
    <xf numFmtId="49" fontId="8" fillId="2" borderId="35" xfId="3" applyNumberFormat="1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left" vertical="center"/>
    </xf>
    <xf numFmtId="0" fontId="8" fillId="0" borderId="35" xfId="3" applyFont="1" applyBorder="1" applyAlignment="1">
      <alignment horizontal="center" vertical="center" wrapText="1"/>
    </xf>
    <xf numFmtId="0" fontId="8" fillId="0" borderId="20" xfId="3" applyFont="1" applyBorder="1" applyAlignment="1">
      <alignment horizontal="left" vertical="center" wrapText="1"/>
    </xf>
    <xf numFmtId="0" fontId="3" fillId="2" borderId="20" xfId="3" applyFont="1" applyFill="1" applyBorder="1" applyAlignment="1">
      <alignment horizontal="center" vertical="center" wrapText="1"/>
    </xf>
    <xf numFmtId="0" fontId="3" fillId="2" borderId="61" xfId="3" applyFont="1" applyFill="1" applyBorder="1" applyAlignment="1">
      <alignment horizontal="center" vertical="center" wrapText="1"/>
    </xf>
    <xf numFmtId="0" fontId="3" fillId="2" borderId="30" xfId="3" applyFont="1" applyFill="1" applyBorder="1" applyAlignment="1">
      <alignment horizontal="center" vertical="center" wrapText="1"/>
    </xf>
    <xf numFmtId="0" fontId="3" fillId="2" borderId="20" xfId="3" applyFont="1" applyFill="1" applyBorder="1" applyAlignment="1">
      <alignment horizontal="left" vertical="center" wrapText="1"/>
    </xf>
    <xf numFmtId="0" fontId="3" fillId="2" borderId="35" xfId="3" applyFont="1" applyFill="1" applyBorder="1" applyAlignment="1">
      <alignment horizontal="left" vertical="center" wrapText="1"/>
    </xf>
    <xf numFmtId="0" fontId="3" fillId="2" borderId="35" xfId="3" applyFont="1" applyFill="1" applyBorder="1" applyAlignment="1">
      <alignment horizontal="left" vertical="center"/>
    </xf>
    <xf numFmtId="0" fontId="3" fillId="2" borderId="28" xfId="3" applyFont="1" applyFill="1" applyBorder="1" applyAlignment="1">
      <alignment horizontal="right" vertical="center"/>
    </xf>
    <xf numFmtId="0" fontId="3" fillId="2" borderId="44" xfId="3" applyFont="1" applyFill="1" applyBorder="1" applyAlignment="1">
      <alignment horizontal="right" vertical="center"/>
    </xf>
    <xf numFmtId="166" fontId="3" fillId="2" borderId="20" xfId="3" applyNumberFormat="1" applyFont="1" applyFill="1" applyBorder="1" applyAlignment="1">
      <alignment horizontal="left" vertical="center"/>
    </xf>
    <xf numFmtId="0" fontId="0" fillId="5" borderId="20" xfId="0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3" fillId="5" borderId="20" xfId="0" applyFont="1" applyFill="1" applyBorder="1"/>
    <xf numFmtId="0" fontId="21" fillId="0" borderId="24" xfId="0" applyFont="1" applyFill="1" applyBorder="1" applyAlignment="1">
      <alignment horizontal="left" vertical="center" wrapText="1"/>
    </xf>
    <xf numFmtId="0" fontId="21" fillId="0" borderId="44" xfId="0" applyFont="1" applyFill="1" applyBorder="1" applyAlignment="1">
      <alignment horizontal="left" vertical="center" wrapText="1"/>
    </xf>
    <xf numFmtId="0" fontId="21" fillId="0" borderId="61" xfId="0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44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right" vertical="center" wrapText="1"/>
    </xf>
    <xf numFmtId="0" fontId="21" fillId="0" borderId="44" xfId="0" applyFont="1" applyFill="1" applyBorder="1" applyAlignment="1">
      <alignment horizontal="right" vertical="center" wrapText="1"/>
    </xf>
    <xf numFmtId="0" fontId="22" fillId="0" borderId="33" xfId="0" applyNumberFormat="1" applyFont="1" applyFill="1" applyBorder="1" applyAlignment="1">
      <alignment horizontal="center" vertical="center"/>
    </xf>
    <xf numFmtId="0" fontId="22" fillId="0" borderId="20" xfId="0" applyNumberFormat="1" applyFont="1" applyFill="1" applyBorder="1" applyAlignment="1">
      <alignment horizontal="center" vertical="center"/>
    </xf>
    <xf numFmtId="0" fontId="22" fillId="0" borderId="33" xfId="0" applyNumberFormat="1" applyFont="1" applyFill="1" applyBorder="1" applyAlignment="1">
      <alignment horizontal="left" vertical="center" wrapText="1"/>
    </xf>
    <xf numFmtId="0" fontId="22" fillId="0" borderId="20" xfId="0" applyNumberFormat="1" applyFont="1" applyFill="1" applyBorder="1" applyAlignment="1">
      <alignment horizontal="left" vertical="center" wrapText="1"/>
    </xf>
    <xf numFmtId="0" fontId="21" fillId="0" borderId="62" xfId="0" applyFont="1" applyFill="1" applyBorder="1" applyAlignment="1">
      <alignment horizontal="left" vertical="center" wrapText="1"/>
    </xf>
    <xf numFmtId="0" fontId="21" fillId="0" borderId="63" xfId="0" applyFont="1" applyFill="1" applyBorder="1" applyAlignment="1">
      <alignment horizontal="left" vertical="center" wrapText="1"/>
    </xf>
    <xf numFmtId="0" fontId="22" fillId="0" borderId="64" xfId="0" applyNumberFormat="1" applyFont="1" applyFill="1" applyBorder="1" applyAlignment="1">
      <alignment horizontal="left" vertical="center" wrapText="1"/>
    </xf>
    <xf numFmtId="0" fontId="22" fillId="0" borderId="40" xfId="0" applyNumberFormat="1" applyFont="1" applyFill="1" applyBorder="1" applyAlignment="1">
      <alignment horizontal="left" vertical="center" wrapText="1"/>
    </xf>
    <xf numFmtId="0" fontId="22" fillId="0" borderId="65" xfId="0" applyNumberFormat="1" applyFont="1" applyFill="1" applyBorder="1" applyAlignment="1">
      <alignment horizontal="left" vertical="center" wrapText="1"/>
    </xf>
    <xf numFmtId="0" fontId="22" fillId="0" borderId="37" xfId="0" applyNumberFormat="1" applyFont="1" applyFill="1" applyBorder="1" applyAlignment="1">
      <alignment horizontal="left" vertical="center" wrapText="1"/>
    </xf>
    <xf numFmtId="0" fontId="22" fillId="0" borderId="56" xfId="0" applyNumberFormat="1" applyFont="1" applyFill="1" applyBorder="1" applyAlignment="1">
      <alignment horizontal="left" vertical="center" wrapText="1"/>
    </xf>
    <xf numFmtId="0" fontId="22" fillId="0" borderId="63" xfId="0" applyNumberFormat="1" applyFont="1" applyFill="1" applyBorder="1" applyAlignment="1">
      <alignment horizontal="left" vertical="center" wrapText="1"/>
    </xf>
    <xf numFmtId="0" fontId="24" fillId="0" borderId="32" xfId="0" applyNumberFormat="1" applyFont="1" applyFill="1" applyBorder="1" applyAlignment="1">
      <alignment horizontal="center" vertical="center"/>
    </xf>
    <xf numFmtId="0" fontId="24" fillId="0" borderId="33" xfId="0" applyNumberFormat="1" applyFont="1" applyFill="1" applyBorder="1" applyAlignment="1">
      <alignment horizontal="center" vertical="center"/>
    </xf>
    <xf numFmtId="0" fontId="24" fillId="0" borderId="53" xfId="0" applyNumberFormat="1" applyFont="1" applyFill="1" applyBorder="1" applyAlignment="1">
      <alignment horizontal="center" vertical="center"/>
    </xf>
    <xf numFmtId="0" fontId="24" fillId="0" borderId="34" xfId="0" applyNumberFormat="1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>
      <alignment horizontal="left" vertical="center"/>
    </xf>
    <xf numFmtId="0" fontId="17" fillId="0" borderId="5" xfId="0" applyNumberFormat="1" applyFont="1" applyFill="1" applyBorder="1" applyAlignment="1">
      <alignment horizontal="left" vertical="center"/>
    </xf>
    <xf numFmtId="0" fontId="17" fillId="0" borderId="44" xfId="0" applyNumberFormat="1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center"/>
    </xf>
    <xf numFmtId="0" fontId="25" fillId="0" borderId="28" xfId="0" applyFont="1" applyFill="1" applyBorder="1" applyAlignment="1">
      <alignment horizontal="left" vertical="center"/>
    </xf>
    <xf numFmtId="0" fontId="25" fillId="0" borderId="29" xfId="0" applyFont="1" applyFill="1" applyBorder="1" applyAlignment="1">
      <alignment horizontal="left" vertical="center"/>
    </xf>
    <xf numFmtId="0" fontId="25" fillId="0" borderId="24" xfId="0" applyNumberFormat="1" applyFont="1" applyFill="1" applyBorder="1" applyAlignment="1">
      <alignment horizontal="left" vertical="center"/>
    </xf>
    <xf numFmtId="0" fontId="25" fillId="0" borderId="5" xfId="0" applyNumberFormat="1" applyFont="1" applyFill="1" applyBorder="1" applyAlignment="1">
      <alignment horizontal="left" vertical="center"/>
    </xf>
    <xf numFmtId="0" fontId="25" fillId="0" borderId="4" xfId="0" applyNumberFormat="1" applyFont="1" applyFill="1" applyBorder="1" applyAlignment="1">
      <alignment horizontal="left" vertical="center"/>
    </xf>
    <xf numFmtId="0" fontId="22" fillId="0" borderId="24" xfId="0" applyNumberFormat="1" applyFont="1" applyFill="1" applyBorder="1" applyAlignment="1">
      <alignment horizontal="left" vertical="center" wrapText="1"/>
    </xf>
    <xf numFmtId="0" fontId="21" fillId="0" borderId="5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2" fillId="0" borderId="66" xfId="0" applyNumberFormat="1" applyFont="1" applyFill="1" applyBorder="1" applyAlignment="1">
      <alignment horizontal="left" vertical="center"/>
    </xf>
    <xf numFmtId="0" fontId="22" fillId="0" borderId="7" xfId="0" applyNumberFormat="1" applyFont="1" applyFill="1" applyBorder="1" applyAlignment="1">
      <alignment horizontal="left" vertical="center"/>
    </xf>
    <xf numFmtId="0" fontId="22" fillId="0" borderId="19" xfId="0" applyNumberFormat="1" applyFont="1" applyFill="1" applyBorder="1" applyAlignment="1">
      <alignment horizontal="left" vertical="center"/>
    </xf>
  </cellXfs>
  <cellStyles count="16">
    <cellStyle name="Hiperlink 2" xfId="1"/>
    <cellStyle name="Moeda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Porcentagem" xfId="8" builtinId="5"/>
    <cellStyle name="Porcentagem 2" xfId="9"/>
    <cellStyle name="Separador de milhares" xfId="10" builtinId="3"/>
    <cellStyle name="Separador de milhares 2" xfId="11"/>
    <cellStyle name="Separador de milhares 3" xfId="12"/>
    <cellStyle name="Vírgula 2" xfId="13"/>
    <cellStyle name="Vírgula 3" xfId="14"/>
    <cellStyle name="Vírgula 4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5121" name="Text Box 6"/>
        <xdr:cNvSpPr txBox="1">
          <a:spLocks noChangeArrowheads="1"/>
        </xdr:cNvSpPr>
      </xdr:nvSpPr>
      <xdr:spPr bwMode="auto">
        <a:xfrm>
          <a:off x="1190625" y="66675"/>
          <a:ext cx="3714750" cy="6381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Superintendência de Projetos e Custos</a:t>
          </a: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Diretoria de Custos</a:t>
          </a:r>
        </a:p>
      </xdr:txBody>
    </xdr:sp>
    <xdr:clientData/>
  </xdr:twoCellAnchor>
  <xdr:twoCellAnchor>
    <xdr:from>
      <xdr:col>0</xdr:col>
      <xdr:colOff>47625</xdr:colOff>
      <xdr:row>58</xdr:row>
      <xdr:rowOff>47625</xdr:rowOff>
    </xdr:from>
    <xdr:to>
      <xdr:col>8</xdr:col>
      <xdr:colOff>0</xdr:colOff>
      <xdr:row>61</xdr:row>
      <xdr:rowOff>161925</xdr:rowOff>
    </xdr:to>
    <xdr:sp macro="" textlink="">
      <xdr:nvSpPr>
        <xdr:cNvPr id="5122" name="Text Box 7"/>
        <xdr:cNvSpPr txBox="1">
          <a:spLocks noChangeArrowheads="1"/>
        </xdr:cNvSpPr>
      </xdr:nvSpPr>
      <xdr:spPr bwMode="auto">
        <a:xfrm>
          <a:off x="47625" y="12715875"/>
          <a:ext cx="8115300" cy="5619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de Estado de Transportes e Obras Públicas  - SETOP - MG</a:t>
          </a:r>
        </a:p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Internet: www.transportes.mg.gov.br / E-mail: dco@transportes.mg.gov.br</a:t>
          </a:r>
        </a:p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Fone Geral: (31) 3239-0999 - Fax: (31) 3239-0899</a:t>
          </a:r>
        </a:p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Sede: Rua Manaus, nº 467 - Bairro Santa Efigênia - CEP 30150-350 - Belo Horizonte - MG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66675</xdr:rowOff>
    </xdr:from>
    <xdr:to>
      <xdr:col>7</xdr:col>
      <xdr:colOff>771525</xdr:colOff>
      <xdr:row>0</xdr:row>
      <xdr:rowOff>704850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85726" y="66675"/>
          <a:ext cx="8029574" cy="6381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22860" rIns="0" bIns="0" anchor="t"/>
        <a:lstStyle/>
        <a:p>
          <a:pPr algn="ctr"/>
          <a:r>
            <a:rPr lang="pt-BR" sz="1200" b="1" u="sng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PREFEITURA MUNICIPAL DE CORAÇÃO DE JESUS</a:t>
          </a:r>
          <a:endParaRPr lang="pt-BR" sz="120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pt-BR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pPr algn="ctr"/>
          <a:r>
            <a:rPr lang="pt-BR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ESTADO DE MINAS GERAIS</a:t>
          </a:r>
        </a:p>
        <a:p>
          <a:r>
            <a:rPr lang="pt-BR" sz="1100"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0</xdr:col>
      <xdr:colOff>47625</xdr:colOff>
      <xdr:row>139</xdr:row>
      <xdr:rowOff>161925</xdr:rowOff>
    </xdr:from>
    <xdr:to>
      <xdr:col>8</xdr:col>
      <xdr:colOff>0</xdr:colOff>
      <xdr:row>143</xdr:row>
      <xdr:rowOff>57150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 flipV="1">
          <a:off x="47625" y="13658850"/>
          <a:ext cx="8115300" cy="4476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22860" rIns="27432" bIns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pt-BR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504826</xdr:colOff>
      <xdr:row>0</xdr:row>
      <xdr:rowOff>66675</xdr:rowOff>
    </xdr:from>
    <xdr:to>
      <xdr:col>9</xdr:col>
      <xdr:colOff>828675</xdr:colOff>
      <xdr:row>0</xdr:row>
      <xdr:rowOff>847725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209676" y="66675"/>
          <a:ext cx="9858374" cy="78105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22860" rIns="0" bIns="0" anchor="t"/>
        <a:lstStyle/>
        <a:p>
          <a:pPr algn="ctr"/>
          <a:r>
            <a:rPr lang="pt-BR" sz="1400" b="1" u="sng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PREFEITURA MUNICIPAL DE CORAÇÃO DE JESUS</a:t>
          </a:r>
          <a:endParaRPr lang="pt-BR" sz="140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pt-BR" sz="14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pPr algn="ctr"/>
          <a:r>
            <a:rPr lang="pt-BR" sz="14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ESTADO DE MINAS GERAIS</a:t>
          </a:r>
        </a:p>
        <a:p>
          <a:r>
            <a:rPr lang="pt-BR" sz="1100"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tabColor rgb="FF00B0F0"/>
  </sheetPr>
  <dimension ref="A1:L34"/>
  <sheetViews>
    <sheetView tabSelected="1" view="pageBreakPreview" zoomScale="115" workbookViewId="0">
      <selection activeCell="D13" sqref="D13:E13"/>
    </sheetView>
  </sheetViews>
  <sheetFormatPr defaultRowHeight="12.75"/>
  <cols>
    <col min="1" max="1" width="18.85546875" style="46" bestFit="1" customWidth="1"/>
    <col min="2" max="2" width="15.7109375" style="46" customWidth="1"/>
    <col min="3" max="3" width="13.5703125" style="46" customWidth="1"/>
    <col min="4" max="4" width="9.28515625" style="46" customWidth="1"/>
    <col min="5" max="5" width="7.5703125" style="46" customWidth="1"/>
    <col min="6" max="6" width="12.85546875" style="46" customWidth="1"/>
    <col min="7" max="7" width="12.7109375" style="46" customWidth="1"/>
    <col min="8" max="8" width="13.42578125" style="46" bestFit="1" customWidth="1"/>
    <col min="9" max="9" width="10.42578125" style="46" bestFit="1" customWidth="1"/>
    <col min="10" max="10" width="12.85546875" style="46" bestFit="1" customWidth="1"/>
    <col min="11" max="11" width="12.7109375" style="46" bestFit="1" customWidth="1"/>
    <col min="12" max="12" width="12.7109375" style="46" customWidth="1"/>
    <col min="13" max="16384" width="9.140625" style="46"/>
  </cols>
  <sheetData>
    <row r="1" spans="1:12">
      <c r="A1" s="216" t="s">
        <v>43</v>
      </c>
      <c r="B1" s="216"/>
      <c r="C1" s="216"/>
      <c r="D1" s="216"/>
      <c r="E1" s="216"/>
      <c r="F1" s="47"/>
      <c r="G1" s="47"/>
      <c r="H1" s="47"/>
      <c r="I1" s="47"/>
      <c r="J1" s="47"/>
      <c r="K1" s="47"/>
      <c r="L1" s="47"/>
    </row>
    <row r="2" spans="1:12" ht="29.25" customHeight="1">
      <c r="A2" s="216" t="s">
        <v>349</v>
      </c>
      <c r="B2" s="216"/>
      <c r="C2" s="216"/>
      <c r="D2" s="216"/>
      <c r="E2" s="216"/>
      <c r="F2" s="47"/>
      <c r="G2" s="47"/>
      <c r="H2" s="47"/>
      <c r="I2" s="47"/>
      <c r="J2" s="47"/>
      <c r="K2" s="47"/>
      <c r="L2" s="47"/>
    </row>
    <row r="3" spans="1:12">
      <c r="A3" s="216" t="s">
        <v>44</v>
      </c>
      <c r="B3" s="216"/>
      <c r="C3" s="50" t="s">
        <v>45</v>
      </c>
      <c r="D3" s="217" t="s">
        <v>46</v>
      </c>
      <c r="E3" s="217"/>
      <c r="F3" s="47"/>
      <c r="G3" s="47"/>
      <c r="H3" s="47"/>
      <c r="I3" s="47"/>
      <c r="J3" s="47"/>
      <c r="K3" s="47"/>
      <c r="L3" s="47"/>
    </row>
    <row r="4" spans="1:12">
      <c r="A4" s="209" t="s">
        <v>47</v>
      </c>
      <c r="B4" s="209"/>
      <c r="C4" s="51" t="s">
        <v>48</v>
      </c>
      <c r="D4" s="210">
        <v>3.7999999999999999E-2</v>
      </c>
      <c r="E4" s="210"/>
      <c r="F4" s="47"/>
      <c r="G4" s="47"/>
      <c r="H4" s="47"/>
      <c r="I4" s="47"/>
      <c r="J4" s="47"/>
      <c r="K4" s="47"/>
      <c r="L4" s="47"/>
    </row>
    <row r="5" spans="1:12">
      <c r="A5" s="209" t="s">
        <v>49</v>
      </c>
      <c r="B5" s="209"/>
      <c r="C5" s="51" t="s">
        <v>50</v>
      </c>
      <c r="D5" s="210">
        <v>6.6400000000000001E-2</v>
      </c>
      <c r="E5" s="210"/>
      <c r="F5" s="47"/>
      <c r="G5" s="47"/>
      <c r="H5" s="47"/>
      <c r="I5" s="47"/>
      <c r="J5" s="47"/>
      <c r="K5" s="47"/>
      <c r="L5" s="47"/>
    </row>
    <row r="6" spans="1:12">
      <c r="A6" s="209" t="s">
        <v>51</v>
      </c>
      <c r="B6" s="209"/>
      <c r="C6" s="51" t="s">
        <v>52</v>
      </c>
      <c r="D6" s="210">
        <v>1.0200000000000001E-2</v>
      </c>
      <c r="E6" s="210"/>
      <c r="F6" s="47"/>
      <c r="G6" s="47"/>
      <c r="H6" s="47"/>
      <c r="I6" s="47"/>
      <c r="J6" s="47"/>
      <c r="K6" s="47"/>
      <c r="L6" s="47"/>
    </row>
    <row r="7" spans="1:12">
      <c r="A7" s="209" t="s">
        <v>53</v>
      </c>
      <c r="B7" s="209"/>
      <c r="C7" s="51" t="s">
        <v>54</v>
      </c>
      <c r="D7" s="210">
        <v>3.2000000000000002E-3</v>
      </c>
      <c r="E7" s="210"/>
      <c r="F7" s="47"/>
      <c r="G7" s="47"/>
      <c r="H7" s="47"/>
      <c r="I7" s="47"/>
      <c r="J7" s="47"/>
      <c r="K7" s="47"/>
      <c r="L7" s="47"/>
    </row>
    <row r="8" spans="1:12">
      <c r="A8" s="209" t="s">
        <v>55</v>
      </c>
      <c r="B8" s="209"/>
      <c r="C8" s="51" t="s">
        <v>56</v>
      </c>
      <c r="D8" s="210">
        <v>0</v>
      </c>
      <c r="E8" s="210"/>
      <c r="F8" s="47"/>
      <c r="G8" s="47"/>
      <c r="H8" s="47"/>
      <c r="I8" s="47"/>
      <c r="J8" s="47"/>
      <c r="K8" s="47"/>
      <c r="L8" s="47"/>
    </row>
    <row r="9" spans="1:12">
      <c r="A9" s="209" t="s">
        <v>57</v>
      </c>
      <c r="B9" s="209"/>
      <c r="C9" s="51" t="s">
        <v>58</v>
      </c>
      <c r="D9" s="210">
        <v>5.0000000000000001E-3</v>
      </c>
      <c r="E9" s="210"/>
      <c r="F9" s="47"/>
      <c r="G9" s="47"/>
      <c r="H9" s="47"/>
      <c r="I9" s="47"/>
      <c r="J9" s="47"/>
      <c r="K9" s="47"/>
      <c r="L9" s="47"/>
    </row>
    <row r="10" spans="1:12">
      <c r="A10" s="209" t="s">
        <v>59</v>
      </c>
      <c r="B10" s="209"/>
      <c r="C10" s="51" t="s">
        <v>60</v>
      </c>
      <c r="D10" s="210">
        <v>8.6499999999999994E-2</v>
      </c>
      <c r="E10" s="210"/>
      <c r="F10" s="47"/>
      <c r="G10" s="47"/>
      <c r="H10" s="47"/>
      <c r="I10" s="47"/>
      <c r="J10" s="47"/>
      <c r="K10" s="47"/>
      <c r="L10" s="47"/>
    </row>
    <row r="11" spans="1:12">
      <c r="A11" s="209" t="s">
        <v>61</v>
      </c>
      <c r="B11" s="209"/>
      <c r="C11" s="51" t="s">
        <v>61</v>
      </c>
      <c r="D11" s="210">
        <v>0.05</v>
      </c>
      <c r="E11" s="210"/>
      <c r="F11" s="47"/>
      <c r="G11" s="47"/>
      <c r="H11" s="47"/>
      <c r="I11" s="47"/>
      <c r="J11" s="47"/>
      <c r="K11" s="47"/>
      <c r="L11" s="47"/>
    </row>
    <row r="12" spans="1:12">
      <c r="A12" s="209" t="s">
        <v>62</v>
      </c>
      <c r="B12" s="209"/>
      <c r="C12" s="51" t="s">
        <v>62</v>
      </c>
      <c r="D12" s="210">
        <v>6.4999999999999997E-3</v>
      </c>
      <c r="E12" s="210"/>
      <c r="F12" s="47"/>
      <c r="G12" s="47"/>
      <c r="H12" s="47"/>
      <c r="I12" s="47"/>
      <c r="J12" s="47"/>
      <c r="K12" s="47"/>
      <c r="L12" s="47"/>
    </row>
    <row r="13" spans="1:12">
      <c r="A13" s="209" t="s">
        <v>63</v>
      </c>
      <c r="B13" s="209"/>
      <c r="C13" s="52" t="s">
        <v>63</v>
      </c>
      <c r="D13" s="218">
        <v>0.03</v>
      </c>
      <c r="E13" s="218"/>
      <c r="F13" s="47"/>
      <c r="G13" s="47"/>
      <c r="H13" s="47"/>
      <c r="I13" s="47"/>
      <c r="J13" s="47"/>
      <c r="K13" s="47"/>
      <c r="L13" s="47"/>
    </row>
    <row r="14" spans="1:12">
      <c r="A14" s="212" t="s">
        <v>64</v>
      </c>
      <c r="B14" s="206" t="s">
        <v>69</v>
      </c>
      <c r="C14" s="206"/>
      <c r="D14" s="207"/>
      <c r="E14" s="208">
        <v>-1</v>
      </c>
      <c r="F14" s="47"/>
      <c r="G14" s="47"/>
      <c r="H14" s="47"/>
      <c r="I14" s="47"/>
      <c r="J14" s="47"/>
      <c r="K14" s="47"/>
      <c r="L14" s="47"/>
    </row>
    <row r="15" spans="1:12" ht="15" customHeight="1">
      <c r="A15" s="212"/>
      <c r="B15" s="214" t="s">
        <v>65</v>
      </c>
      <c r="C15" s="214"/>
      <c r="D15" s="215"/>
      <c r="E15" s="208"/>
      <c r="F15" s="47"/>
      <c r="G15" s="47"/>
      <c r="H15" s="47"/>
      <c r="I15" s="47"/>
      <c r="J15" s="47"/>
      <c r="K15" s="47"/>
      <c r="L15" s="47"/>
    </row>
    <row r="16" spans="1:12" ht="15" customHeight="1">
      <c r="A16" s="209" t="s">
        <v>66</v>
      </c>
      <c r="B16" s="209"/>
      <c r="C16" s="210">
        <f>((1+(D4+D7+D8+D9))*(1+D6)*(1+D5))</f>
        <v>1.1270474903359999</v>
      </c>
      <c r="D16" s="210"/>
      <c r="E16" s="210"/>
      <c r="F16" s="47"/>
      <c r="G16" s="47"/>
      <c r="H16" s="47"/>
      <c r="I16" s="47"/>
      <c r="J16" s="47"/>
      <c r="K16" s="47"/>
      <c r="L16" s="47"/>
    </row>
    <row r="17" spans="1:12">
      <c r="A17" s="209" t="s">
        <v>67</v>
      </c>
      <c r="B17" s="209"/>
      <c r="C17" s="210">
        <f>(1 - (D10 ))</f>
        <v>0.91349999999999998</v>
      </c>
      <c r="D17" s="210"/>
      <c r="E17" s="210"/>
      <c r="F17" s="47"/>
      <c r="G17" s="47"/>
      <c r="H17" s="47"/>
      <c r="I17" s="47"/>
      <c r="J17" s="47"/>
      <c r="K17" s="47"/>
      <c r="L17" s="47"/>
    </row>
    <row r="18" spans="1:12">
      <c r="A18" s="212" t="s">
        <v>68</v>
      </c>
      <c r="B18" s="212"/>
      <c r="C18" s="213">
        <f>(C16/C17)-1</f>
        <v>0.23376846232731241</v>
      </c>
      <c r="D18" s="213"/>
      <c r="E18" s="213"/>
      <c r="F18" s="47"/>
      <c r="G18" s="47"/>
      <c r="H18" s="47"/>
      <c r="I18" s="47"/>
      <c r="J18" s="47"/>
      <c r="K18" s="47"/>
      <c r="L18" s="47"/>
    </row>
    <row r="19" spans="1:12"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>
      <c r="A22" s="211" t="s">
        <v>40</v>
      </c>
      <c r="B22" s="211"/>
      <c r="C22" s="211"/>
      <c r="D22" s="211"/>
      <c r="E22" s="49"/>
      <c r="F22" s="48"/>
      <c r="G22" s="48"/>
      <c r="H22" s="48"/>
      <c r="I22" s="48"/>
      <c r="J22" s="48"/>
      <c r="K22" s="48"/>
      <c r="L22" s="48"/>
    </row>
    <row r="23" spans="1:12">
      <c r="A23" s="211" t="s">
        <v>334</v>
      </c>
      <c r="B23" s="211"/>
      <c r="C23" s="211"/>
      <c r="D23" s="211"/>
      <c r="E23" s="49"/>
      <c r="F23" s="48"/>
      <c r="G23" s="48"/>
      <c r="H23" s="48"/>
      <c r="I23" s="48"/>
      <c r="J23" s="48"/>
      <c r="K23" s="48"/>
      <c r="L23" s="48"/>
    </row>
    <row r="24" spans="1:12">
      <c r="A24" s="211" t="s">
        <v>335</v>
      </c>
      <c r="B24" s="211"/>
      <c r="C24" s="211"/>
      <c r="D24" s="211"/>
      <c r="E24" s="49"/>
      <c r="F24" s="48"/>
      <c r="G24" s="48"/>
      <c r="H24" s="48"/>
      <c r="I24" s="48"/>
      <c r="J24" s="48"/>
      <c r="K24" s="48"/>
      <c r="L24" s="48"/>
    </row>
    <row r="25" spans="1:12"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1:12"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1:12">
      <c r="C27" s="47"/>
      <c r="D27" s="47"/>
      <c r="E27" s="47"/>
      <c r="F27" s="47"/>
      <c r="G27" s="47"/>
      <c r="H27" s="47"/>
      <c r="I27" s="47"/>
      <c r="J27" s="47"/>
      <c r="K27" s="47"/>
      <c r="L27" s="47"/>
    </row>
    <row r="28" spans="1:12"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2"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12"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2"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2"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3:12"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3:12">
      <c r="C34" s="47"/>
      <c r="D34" s="47"/>
      <c r="E34" s="47"/>
      <c r="F34" s="47"/>
      <c r="G34" s="47"/>
      <c r="H34" s="47"/>
      <c r="I34" s="47"/>
      <c r="J34" s="47"/>
      <c r="K34" s="47"/>
      <c r="L34" s="47"/>
    </row>
  </sheetData>
  <mergeCells count="37">
    <mergeCell ref="A1:E1"/>
    <mergeCell ref="A2:E2"/>
    <mergeCell ref="D3:E3"/>
    <mergeCell ref="D4:E4"/>
    <mergeCell ref="A3:B3"/>
    <mergeCell ref="A4:B4"/>
    <mergeCell ref="D5:E5"/>
    <mergeCell ref="D6:E6"/>
    <mergeCell ref="D8:E8"/>
    <mergeCell ref="D9:E9"/>
    <mergeCell ref="A7:B7"/>
    <mergeCell ref="A8:B8"/>
    <mergeCell ref="A9:B9"/>
    <mergeCell ref="A5:B5"/>
    <mergeCell ref="A6:B6"/>
    <mergeCell ref="D7:E7"/>
    <mergeCell ref="A10:B10"/>
    <mergeCell ref="A11:B11"/>
    <mergeCell ref="A12:B12"/>
    <mergeCell ref="A23:D23"/>
    <mergeCell ref="D10:E10"/>
    <mergeCell ref="A22:D22"/>
    <mergeCell ref="C18:E18"/>
    <mergeCell ref="C17:E17"/>
    <mergeCell ref="B15:D15"/>
    <mergeCell ref="A14:A15"/>
    <mergeCell ref="D12:E12"/>
    <mergeCell ref="D13:E13"/>
    <mergeCell ref="A13:B13"/>
    <mergeCell ref="D11:E11"/>
    <mergeCell ref="B14:D14"/>
    <mergeCell ref="E14:E15"/>
    <mergeCell ref="A16:B16"/>
    <mergeCell ref="C16:E16"/>
    <mergeCell ref="A24:D24"/>
    <mergeCell ref="A17:B17"/>
    <mergeCell ref="A18:B18"/>
  </mergeCells>
  <phoneticPr fontId="15" type="noConversion"/>
  <printOptions horizontalCentered="1"/>
  <pageMargins left="0.78740157480314965" right="0.78740157480314965" top="0.98425196850393704" bottom="0.98425196850393704" header="0.51181102362204722" footer="0.51181102362204722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J63"/>
  <sheetViews>
    <sheetView showGridLines="0" showZeros="0" view="pageBreakPreview" topLeftCell="A7" zoomScaleSheetLayoutView="100" workbookViewId="0">
      <selection activeCell="A4" sqref="A4:L4"/>
    </sheetView>
  </sheetViews>
  <sheetFormatPr defaultRowHeight="12.75"/>
  <cols>
    <col min="1" max="1" width="5.42578125" bestFit="1" customWidth="1"/>
    <col min="2" max="2" width="10.7109375" bestFit="1" customWidth="1"/>
    <col min="3" max="3" width="48" customWidth="1"/>
    <col min="5" max="8" width="12.28515625" customWidth="1"/>
    <col min="10" max="10" width="13.140625" bestFit="1" customWidth="1"/>
  </cols>
  <sheetData>
    <row r="1" spans="1:9" ht="60.75" customHeight="1" thickBot="1">
      <c r="A1" s="251"/>
      <c r="B1" s="251"/>
      <c r="C1" s="250"/>
      <c r="D1" s="250"/>
      <c r="E1" s="250"/>
      <c r="F1" s="250"/>
      <c r="G1" s="250"/>
      <c r="H1" s="250"/>
    </row>
    <row r="2" spans="1:9" ht="16.5" thickBot="1">
      <c r="A2" s="219" t="s">
        <v>80</v>
      </c>
      <c r="B2" s="220"/>
      <c r="C2" s="220"/>
      <c r="D2" s="220"/>
      <c r="E2" s="220"/>
      <c r="F2" s="220"/>
      <c r="G2" s="220"/>
      <c r="H2" s="221"/>
    </row>
    <row r="3" spans="1:9" ht="3.75" customHeight="1" thickBot="1">
      <c r="A3" s="245"/>
      <c r="B3" s="245"/>
      <c r="C3" s="245"/>
      <c r="D3" s="245"/>
      <c r="E3" s="245"/>
      <c r="F3" s="245"/>
      <c r="G3" s="245"/>
      <c r="H3" s="245"/>
    </row>
    <row r="4" spans="1:9" ht="20.100000000000001" customHeight="1" thickBot="1">
      <c r="A4" s="238" t="s">
        <v>4</v>
      </c>
      <c r="B4" s="239"/>
      <c r="C4" s="239"/>
      <c r="D4" s="239"/>
      <c r="E4" s="239"/>
      <c r="F4" s="239"/>
      <c r="G4" s="239"/>
      <c r="H4" s="240"/>
    </row>
    <row r="5" spans="1:9" ht="3.75" customHeight="1" thickBot="1">
      <c r="A5" s="11"/>
      <c r="B5" s="11"/>
      <c r="C5" s="11"/>
      <c r="D5" s="11"/>
      <c r="E5" s="11"/>
      <c r="F5" s="11"/>
      <c r="G5" s="11"/>
      <c r="H5" s="11"/>
    </row>
    <row r="6" spans="1:9" ht="20.100000000000001" customHeight="1">
      <c r="A6" s="229" t="s">
        <v>39</v>
      </c>
      <c r="B6" s="230"/>
      <c r="C6" s="230"/>
      <c r="D6" s="230"/>
      <c r="E6" s="231"/>
      <c r="F6" s="241" t="s">
        <v>25</v>
      </c>
      <c r="G6" s="242"/>
      <c r="H6" s="243"/>
    </row>
    <row r="7" spans="1:9" ht="20.100000000000001" customHeight="1">
      <c r="A7" s="232" t="s">
        <v>81</v>
      </c>
      <c r="B7" s="233"/>
      <c r="C7" s="233"/>
      <c r="D7" s="233"/>
      <c r="E7" s="234"/>
      <c r="F7" s="226" t="s">
        <v>82</v>
      </c>
      <c r="G7" s="227"/>
      <c r="H7" s="228"/>
    </row>
    <row r="8" spans="1:9">
      <c r="A8" s="252" t="s">
        <v>136</v>
      </c>
      <c r="B8" s="253"/>
      <c r="C8" s="253"/>
      <c r="D8" s="254"/>
      <c r="E8" s="235" t="s">
        <v>12</v>
      </c>
      <c r="F8" s="236"/>
      <c r="G8" s="236"/>
      <c r="H8" s="237"/>
    </row>
    <row r="9" spans="1:9" ht="20.100000000000001" customHeight="1">
      <c r="A9" s="252" t="s">
        <v>83</v>
      </c>
      <c r="B9" s="253"/>
      <c r="C9" s="253"/>
      <c r="D9" s="254"/>
      <c r="E9" s="224" t="s">
        <v>8</v>
      </c>
      <c r="F9" s="222" t="s">
        <v>6</v>
      </c>
      <c r="G9" s="10" t="s">
        <v>26</v>
      </c>
      <c r="H9" s="7" t="s">
        <v>7</v>
      </c>
    </row>
    <row r="10" spans="1:9" ht="20.100000000000001" customHeight="1" thickBot="1">
      <c r="A10" s="255" t="s">
        <v>84</v>
      </c>
      <c r="B10" s="256"/>
      <c r="C10" s="256"/>
      <c r="D10" s="257"/>
      <c r="E10" s="225"/>
      <c r="F10" s="223"/>
      <c r="G10" s="12" t="s">
        <v>9</v>
      </c>
      <c r="H10" s="43" t="e">
        <f>'Composição BDI'!#REF!</f>
        <v>#REF!</v>
      </c>
    </row>
    <row r="11" spans="1:9" ht="3.75" customHeight="1" thickBot="1">
      <c r="A11" s="244"/>
      <c r="B11" s="244"/>
      <c r="C11" s="244"/>
      <c r="D11" s="244"/>
      <c r="E11" s="244"/>
      <c r="F11" s="244"/>
      <c r="G11" s="244"/>
      <c r="H11" s="244"/>
    </row>
    <row r="12" spans="1:9" ht="39" thickBot="1">
      <c r="A12" s="2" t="s">
        <v>0</v>
      </c>
      <c r="B12" s="3" t="s">
        <v>5</v>
      </c>
      <c r="C12" s="3" t="s">
        <v>1</v>
      </c>
      <c r="D12" s="3" t="s">
        <v>3</v>
      </c>
      <c r="E12" s="3" t="s">
        <v>2</v>
      </c>
      <c r="F12" s="4" t="s">
        <v>13</v>
      </c>
      <c r="G12" s="4" t="s">
        <v>14</v>
      </c>
      <c r="H12" s="5" t="s">
        <v>10</v>
      </c>
    </row>
    <row r="13" spans="1:9" s="25" customFormat="1" ht="18" customHeight="1">
      <c r="A13" s="26">
        <v>1</v>
      </c>
      <c r="B13" s="27"/>
      <c r="C13" s="28" t="s">
        <v>85</v>
      </c>
      <c r="D13" s="29"/>
      <c r="E13" s="30"/>
      <c r="F13" s="30"/>
      <c r="G13" s="30"/>
      <c r="H13" s="31"/>
    </row>
    <row r="14" spans="1:9" ht="33.75">
      <c r="A14" s="13" t="s">
        <v>16</v>
      </c>
      <c r="B14" s="32" t="s">
        <v>86</v>
      </c>
      <c r="C14" s="33" t="s">
        <v>87</v>
      </c>
      <c r="D14" s="14" t="s">
        <v>88</v>
      </c>
      <c r="E14" s="15">
        <f>713.51</f>
        <v>713.51</v>
      </c>
      <c r="F14" s="15">
        <v>50.34</v>
      </c>
      <c r="G14" s="15" t="e">
        <f>F14+(F14*$H$10)</f>
        <v>#REF!</v>
      </c>
      <c r="H14" s="16" t="e">
        <f>E14*G14</f>
        <v>#REF!</v>
      </c>
      <c r="I14" s="24"/>
    </row>
    <row r="15" spans="1:9" ht="18" customHeight="1">
      <c r="A15" s="13" t="s">
        <v>18</v>
      </c>
      <c r="B15" s="32" t="s">
        <v>89</v>
      </c>
      <c r="C15" s="33" t="s">
        <v>90</v>
      </c>
      <c r="D15" s="14" t="s">
        <v>88</v>
      </c>
      <c r="E15" s="15">
        <v>999.18</v>
      </c>
      <c r="F15" s="15">
        <v>10.130000000000001</v>
      </c>
      <c r="G15" s="15" t="e">
        <f t="shared" ref="G15:G48" si="0">F15+(F15*$H$10)</f>
        <v>#REF!</v>
      </c>
      <c r="H15" s="16" t="e">
        <f t="shared" ref="H15:H49" si="1">E15*G15</f>
        <v>#REF!</v>
      </c>
    </row>
    <row r="16" spans="1:9" ht="18" customHeight="1">
      <c r="A16" s="34"/>
      <c r="B16" s="35"/>
      <c r="C16" s="36"/>
      <c r="D16" s="14"/>
      <c r="E16" s="15"/>
      <c r="F16" s="15"/>
      <c r="G16" s="15" t="e">
        <f t="shared" si="0"/>
        <v>#REF!</v>
      </c>
      <c r="H16" s="16" t="e">
        <f t="shared" si="1"/>
        <v>#REF!</v>
      </c>
    </row>
    <row r="17" spans="1:9" s="56" customFormat="1">
      <c r="A17" s="34">
        <v>2</v>
      </c>
      <c r="B17" s="35"/>
      <c r="C17" s="36" t="s">
        <v>91</v>
      </c>
      <c r="D17" s="53"/>
      <c r="E17" s="54"/>
      <c r="F17" s="54"/>
      <c r="G17" s="54" t="e">
        <f t="shared" si="0"/>
        <v>#REF!</v>
      </c>
      <c r="H17" s="55" t="e">
        <f t="shared" si="1"/>
        <v>#REF!</v>
      </c>
    </row>
    <row r="18" spans="1:9" s="25" customFormat="1" ht="22.5">
      <c r="A18" s="13" t="s">
        <v>19</v>
      </c>
      <c r="B18" s="37" t="s">
        <v>92</v>
      </c>
      <c r="C18" s="33" t="s">
        <v>93</v>
      </c>
      <c r="D18" s="14" t="s">
        <v>88</v>
      </c>
      <c r="E18" s="15">
        <v>232.74</v>
      </c>
      <c r="F18" s="15">
        <v>3.51</v>
      </c>
      <c r="G18" s="15" t="e">
        <f t="shared" si="0"/>
        <v>#REF!</v>
      </c>
      <c r="H18" s="16" t="e">
        <f t="shared" si="1"/>
        <v>#REF!</v>
      </c>
    </row>
    <row r="19" spans="1:9" ht="22.5">
      <c r="A19" s="13" t="s">
        <v>20</v>
      </c>
      <c r="B19" s="37" t="s">
        <v>94</v>
      </c>
      <c r="C19" s="33" t="s">
        <v>95</v>
      </c>
      <c r="D19" s="14" t="s">
        <v>88</v>
      </c>
      <c r="E19" s="15">
        <f>E18</f>
        <v>232.74</v>
      </c>
      <c r="F19" s="15">
        <v>9.85</v>
      </c>
      <c r="G19" s="15" t="e">
        <f t="shared" si="0"/>
        <v>#REF!</v>
      </c>
      <c r="H19" s="16" t="e">
        <f t="shared" si="1"/>
        <v>#REF!</v>
      </c>
    </row>
    <row r="20" spans="1:9">
      <c r="A20" s="58" t="s">
        <v>21</v>
      </c>
      <c r="B20" s="59"/>
      <c r="C20" s="60" t="s">
        <v>96</v>
      </c>
      <c r="D20" s="37"/>
      <c r="E20" s="15"/>
      <c r="F20" s="15"/>
      <c r="G20" s="15" t="e">
        <f t="shared" si="0"/>
        <v>#REF!</v>
      </c>
      <c r="H20" s="16" t="e">
        <f t="shared" si="1"/>
        <v>#REF!</v>
      </c>
    </row>
    <row r="21" spans="1:9" ht="22.5">
      <c r="A21" s="13" t="s">
        <v>72</v>
      </c>
      <c r="B21" s="37" t="s">
        <v>97</v>
      </c>
      <c r="C21" s="33" t="s">
        <v>98</v>
      </c>
      <c r="D21" s="37" t="s">
        <v>88</v>
      </c>
      <c r="E21" s="15">
        <f>(65*0.2*1.25*4)</f>
        <v>65</v>
      </c>
      <c r="F21" s="15">
        <v>52.26</v>
      </c>
      <c r="G21" s="15" t="e">
        <f t="shared" si="0"/>
        <v>#REF!</v>
      </c>
      <c r="H21" s="16" t="e">
        <f t="shared" si="1"/>
        <v>#REF!</v>
      </c>
    </row>
    <row r="22" spans="1:9" ht="33.75">
      <c r="A22" s="13" t="s">
        <v>100</v>
      </c>
      <c r="B22" s="37" t="s">
        <v>99</v>
      </c>
      <c r="C22" s="33" t="s">
        <v>101</v>
      </c>
      <c r="D22" s="14" t="s">
        <v>70</v>
      </c>
      <c r="E22" s="15">
        <f>65*0.2*0.2*1.25</f>
        <v>3.25</v>
      </c>
      <c r="F22" s="15">
        <v>292.74</v>
      </c>
      <c r="G22" s="15" t="e">
        <f t="shared" si="0"/>
        <v>#REF!</v>
      </c>
      <c r="H22" s="16" t="e">
        <f t="shared" si="1"/>
        <v>#REF!</v>
      </c>
    </row>
    <row r="23" spans="1:9" ht="22.5">
      <c r="A23" s="13" t="s">
        <v>102</v>
      </c>
      <c r="B23" s="37" t="s">
        <v>128</v>
      </c>
      <c r="C23" s="33" t="s">
        <v>127</v>
      </c>
      <c r="D23" s="37" t="s">
        <v>15</v>
      </c>
      <c r="E23" s="15">
        <f>((139.44-(65*0.2))*0.4)</f>
        <v>50.576000000000001</v>
      </c>
      <c r="F23" s="15">
        <v>47.94</v>
      </c>
      <c r="G23" s="15" t="e">
        <f t="shared" si="0"/>
        <v>#REF!</v>
      </c>
      <c r="H23" s="16" t="e">
        <f t="shared" si="1"/>
        <v>#REF!</v>
      </c>
    </row>
    <row r="24" spans="1:9" ht="33.75">
      <c r="A24" s="13" t="s">
        <v>108</v>
      </c>
      <c r="B24" s="37" t="s">
        <v>103</v>
      </c>
      <c r="C24" s="33" t="s">
        <v>104</v>
      </c>
      <c r="D24" s="37" t="s">
        <v>15</v>
      </c>
      <c r="E24" s="15">
        <f>E23*2</f>
        <v>101.152</v>
      </c>
      <c r="F24" s="15">
        <v>7.38</v>
      </c>
      <c r="G24" s="15" t="e">
        <f t="shared" si="0"/>
        <v>#REF!</v>
      </c>
      <c r="H24" s="16" t="e">
        <f t="shared" si="1"/>
        <v>#REF!</v>
      </c>
    </row>
    <row r="25" spans="1:9" ht="22.5">
      <c r="A25" s="13" t="s">
        <v>109</v>
      </c>
      <c r="B25" s="37" t="s">
        <v>129</v>
      </c>
      <c r="C25" s="33" t="s">
        <v>105</v>
      </c>
      <c r="D25" s="37" t="s">
        <v>23</v>
      </c>
      <c r="E25" s="15">
        <f>139.44</f>
        <v>139.44</v>
      </c>
      <c r="F25" s="15">
        <v>105.98</v>
      </c>
      <c r="G25" s="15" t="e">
        <f t="shared" si="0"/>
        <v>#REF!</v>
      </c>
      <c r="H25" s="16" t="e">
        <f t="shared" si="1"/>
        <v>#REF!</v>
      </c>
    </row>
    <row r="26" spans="1:9" ht="22.5">
      <c r="A26" s="13" t="s">
        <v>110</v>
      </c>
      <c r="B26" s="37" t="s">
        <v>131</v>
      </c>
      <c r="C26" s="33" t="s">
        <v>130</v>
      </c>
      <c r="D26" s="37" t="s">
        <v>23</v>
      </c>
      <c r="E26" s="15">
        <f>(E25/0.8)*0.75</f>
        <v>130.72499999999999</v>
      </c>
      <c r="F26" s="15">
        <v>42.6</v>
      </c>
      <c r="G26" s="15" t="e">
        <f>F26+(F26*$H$10)</f>
        <v>#REF!</v>
      </c>
      <c r="H26" s="16" t="e">
        <f>E26*G26</f>
        <v>#REF!</v>
      </c>
    </row>
    <row r="27" spans="1:9" ht="22.5">
      <c r="A27" s="13" t="s">
        <v>132</v>
      </c>
      <c r="B27" s="37" t="s">
        <v>106</v>
      </c>
      <c r="C27" s="33" t="s">
        <v>111</v>
      </c>
      <c r="D27" s="37" t="s">
        <v>107</v>
      </c>
      <c r="E27" s="15">
        <f>E25+E26</f>
        <v>270.16499999999996</v>
      </c>
      <c r="F27" s="15">
        <v>9.41</v>
      </c>
      <c r="G27" s="15" t="e">
        <f t="shared" si="0"/>
        <v>#REF!</v>
      </c>
      <c r="H27" s="16" t="e">
        <f t="shared" si="1"/>
        <v>#REF!</v>
      </c>
      <c r="I27" s="24"/>
    </row>
    <row r="28" spans="1:9">
      <c r="A28" s="13"/>
      <c r="B28" s="37"/>
      <c r="C28" s="33"/>
      <c r="D28" s="37"/>
      <c r="E28" s="15"/>
      <c r="F28" s="15"/>
      <c r="G28" s="15" t="e">
        <f t="shared" si="0"/>
        <v>#REF!</v>
      </c>
      <c r="H28" s="16" t="e">
        <f t="shared" si="1"/>
        <v>#REF!</v>
      </c>
      <c r="I28" s="24"/>
    </row>
    <row r="29" spans="1:9" s="68" customFormat="1">
      <c r="A29" s="62">
        <v>3</v>
      </c>
      <c r="B29" s="63"/>
      <c r="C29" s="64" t="s">
        <v>112</v>
      </c>
      <c r="D29" s="63"/>
      <c r="E29" s="65"/>
      <c r="F29" s="65"/>
      <c r="G29" s="65" t="e">
        <f>F29+(F29*$H$10)</f>
        <v>#REF!</v>
      </c>
      <c r="H29" s="66" t="e">
        <f>E29*G29</f>
        <v>#REF!</v>
      </c>
      <c r="I29" s="67"/>
    </row>
    <row r="30" spans="1:9" s="68" customFormat="1" ht="33.75">
      <c r="A30" s="69" t="s">
        <v>22</v>
      </c>
      <c r="B30" s="70" t="s">
        <v>114</v>
      </c>
      <c r="C30" s="71" t="s">
        <v>115</v>
      </c>
      <c r="D30" s="72" t="s">
        <v>113</v>
      </c>
      <c r="E30" s="73">
        <v>4</v>
      </c>
      <c r="F30" s="73">
        <v>1384.57</v>
      </c>
      <c r="G30" s="73" t="e">
        <f>F30+(F30*$H$10)</f>
        <v>#REF!</v>
      </c>
      <c r="H30" s="74" t="e">
        <f>E30*G30</f>
        <v>#REF!</v>
      </c>
      <c r="I30" s="67"/>
    </row>
    <row r="31" spans="1:9" s="68" customFormat="1">
      <c r="A31" s="69" t="s">
        <v>133</v>
      </c>
      <c r="B31" s="70" t="s">
        <v>139</v>
      </c>
      <c r="C31" s="71" t="s">
        <v>140</v>
      </c>
      <c r="D31" s="72" t="s">
        <v>113</v>
      </c>
      <c r="E31" s="73">
        <v>4</v>
      </c>
      <c r="F31" s="73">
        <v>44.3</v>
      </c>
      <c r="G31" s="73" t="e">
        <f>F31+(F31*$H$10)</f>
        <v>#REF!</v>
      </c>
      <c r="H31" s="74" t="e">
        <f>E31*G31</f>
        <v>#REF!</v>
      </c>
      <c r="I31" s="67"/>
    </row>
    <row r="32" spans="1:9" s="68" customFormat="1" ht="22.5">
      <c r="A32" s="69" t="s">
        <v>133</v>
      </c>
      <c r="B32" s="75" t="s">
        <v>121</v>
      </c>
      <c r="C32" s="71" t="s">
        <v>122</v>
      </c>
      <c r="D32" s="72" t="s">
        <v>113</v>
      </c>
      <c r="E32" s="73">
        <v>4</v>
      </c>
      <c r="F32" s="73">
        <v>274.83</v>
      </c>
      <c r="G32" s="73" t="e">
        <f t="shared" si="0"/>
        <v>#REF!</v>
      </c>
      <c r="H32" s="74" t="e">
        <f t="shared" si="1"/>
        <v>#REF!</v>
      </c>
    </row>
    <row r="33" spans="1:8" s="68" customFormat="1" ht="22.5">
      <c r="A33" s="69" t="s">
        <v>134</v>
      </c>
      <c r="B33" s="75" t="s">
        <v>123</v>
      </c>
      <c r="C33" s="71" t="s">
        <v>124</v>
      </c>
      <c r="D33" s="72" t="s">
        <v>107</v>
      </c>
      <c r="E33" s="73">
        <v>67.609499999999997</v>
      </c>
      <c r="F33" s="73">
        <v>11.2</v>
      </c>
      <c r="G33" s="73" t="e">
        <f>F33+(F33*$H$10)</f>
        <v>#REF!</v>
      </c>
      <c r="H33" s="74" t="e">
        <f>E33*G33</f>
        <v>#REF!</v>
      </c>
    </row>
    <row r="34" spans="1:8" s="68" customFormat="1" ht="22.5">
      <c r="A34" s="69" t="s">
        <v>135</v>
      </c>
      <c r="B34" s="75" t="s">
        <v>125</v>
      </c>
      <c r="C34" s="71" t="s">
        <v>126</v>
      </c>
      <c r="D34" s="72" t="s">
        <v>107</v>
      </c>
      <c r="E34" s="73">
        <f>E33*3</f>
        <v>202.82849999999999</v>
      </c>
      <c r="F34" s="73">
        <v>5.33</v>
      </c>
      <c r="G34" s="73" t="e">
        <f>F34+(F34*$H$10)</f>
        <v>#REF!</v>
      </c>
      <c r="H34" s="74" t="e">
        <f>E34*G34</f>
        <v>#REF!</v>
      </c>
    </row>
    <row r="35" spans="1:8" s="68" customFormat="1" ht="22.5">
      <c r="A35" s="69"/>
      <c r="B35" s="75" t="s">
        <v>137</v>
      </c>
      <c r="C35" s="71" t="s">
        <v>138</v>
      </c>
      <c r="D35" s="72" t="s">
        <v>113</v>
      </c>
      <c r="E35" s="73">
        <v>1</v>
      </c>
      <c r="F35" s="73">
        <v>1707.84</v>
      </c>
      <c r="G35" s="73" t="e">
        <f>F35+(F35*$H$10)</f>
        <v>#REF!</v>
      </c>
      <c r="H35" s="74" t="e">
        <f>E35*G35</f>
        <v>#REF!</v>
      </c>
    </row>
    <row r="36" spans="1:8" ht="18" customHeight="1">
      <c r="A36" s="34"/>
      <c r="B36" s="35"/>
      <c r="C36" s="36"/>
      <c r="D36" s="14"/>
      <c r="E36" s="15"/>
      <c r="F36" s="15"/>
      <c r="G36" s="15" t="e">
        <f t="shared" si="0"/>
        <v>#REF!</v>
      </c>
      <c r="H36" s="16" t="e">
        <f t="shared" si="1"/>
        <v>#REF!</v>
      </c>
    </row>
    <row r="37" spans="1:8" ht="18" customHeight="1">
      <c r="A37" s="34">
        <v>4</v>
      </c>
      <c r="B37" s="57"/>
      <c r="C37" s="36" t="s">
        <v>117</v>
      </c>
      <c r="D37" s="53"/>
      <c r="E37" s="54"/>
      <c r="F37" s="54"/>
      <c r="G37" s="54" t="e">
        <f t="shared" si="0"/>
        <v>#REF!</v>
      </c>
      <c r="H37" s="55" t="e">
        <f t="shared" si="1"/>
        <v>#REF!</v>
      </c>
    </row>
    <row r="38" spans="1:8" ht="18" customHeight="1">
      <c r="A38" s="13" t="s">
        <v>120</v>
      </c>
      <c r="B38" s="32" t="s">
        <v>119</v>
      </c>
      <c r="C38" s="33" t="s">
        <v>118</v>
      </c>
      <c r="D38" s="14" t="s">
        <v>116</v>
      </c>
      <c r="E38" s="15"/>
      <c r="F38" s="15">
        <v>292.72000000000003</v>
      </c>
      <c r="G38" s="15" t="e">
        <f t="shared" si="0"/>
        <v>#REF!</v>
      </c>
      <c r="H38" s="16" t="e">
        <f t="shared" si="1"/>
        <v>#REF!</v>
      </c>
    </row>
    <row r="39" spans="1:8" ht="18" customHeight="1">
      <c r="A39" s="34"/>
      <c r="B39" s="35"/>
      <c r="C39" s="36"/>
      <c r="D39" s="14"/>
      <c r="E39" s="15"/>
      <c r="F39" s="15"/>
      <c r="G39" s="15" t="e">
        <f t="shared" si="0"/>
        <v>#REF!</v>
      </c>
      <c r="H39" s="16" t="e">
        <f t="shared" si="1"/>
        <v>#REF!</v>
      </c>
    </row>
    <row r="40" spans="1:8">
      <c r="A40" s="13"/>
      <c r="B40" s="37"/>
      <c r="C40" s="33"/>
      <c r="D40" s="14"/>
      <c r="E40" s="15"/>
      <c r="F40" s="15"/>
      <c r="G40" s="15" t="e">
        <f t="shared" si="0"/>
        <v>#REF!</v>
      </c>
      <c r="H40" s="16" t="e">
        <f t="shared" si="1"/>
        <v>#REF!</v>
      </c>
    </row>
    <row r="41" spans="1:8" ht="18" customHeight="1">
      <c r="A41" s="13"/>
      <c r="B41" s="32"/>
      <c r="C41" s="33"/>
      <c r="D41" s="14"/>
      <c r="E41" s="15"/>
      <c r="F41" s="15"/>
      <c r="G41" s="15" t="e">
        <f t="shared" si="0"/>
        <v>#REF!</v>
      </c>
      <c r="H41" s="16" t="e">
        <f t="shared" si="1"/>
        <v>#REF!</v>
      </c>
    </row>
    <row r="42" spans="1:8" ht="18" customHeight="1">
      <c r="A42" s="13"/>
      <c r="B42" s="32"/>
      <c r="C42" s="33"/>
      <c r="D42" s="14"/>
      <c r="E42" s="15"/>
      <c r="F42" s="15"/>
      <c r="G42" s="15" t="e">
        <f t="shared" si="0"/>
        <v>#REF!</v>
      </c>
      <c r="H42" s="16" t="e">
        <f t="shared" si="1"/>
        <v>#REF!</v>
      </c>
    </row>
    <row r="43" spans="1:8" ht="18" customHeight="1">
      <c r="A43" s="13"/>
      <c r="B43" s="32"/>
      <c r="C43" s="33"/>
      <c r="D43" s="14"/>
      <c r="E43" s="15"/>
      <c r="F43" s="15"/>
      <c r="G43" s="15" t="e">
        <f t="shared" si="0"/>
        <v>#REF!</v>
      </c>
      <c r="H43" s="16" t="e">
        <f t="shared" si="1"/>
        <v>#REF!</v>
      </c>
    </row>
    <row r="44" spans="1:8" ht="18" customHeight="1">
      <c r="A44" s="13"/>
      <c r="B44" s="32"/>
      <c r="C44" s="38"/>
      <c r="D44" s="14"/>
      <c r="E44" s="15"/>
      <c r="F44" s="15"/>
      <c r="G44" s="15" t="e">
        <f t="shared" si="0"/>
        <v>#REF!</v>
      </c>
      <c r="H44" s="16" t="e">
        <f t="shared" si="1"/>
        <v>#REF!</v>
      </c>
    </row>
    <row r="45" spans="1:8" ht="18" customHeight="1">
      <c r="A45" s="13"/>
      <c r="B45" s="32"/>
      <c r="C45" s="33"/>
      <c r="D45" s="14"/>
      <c r="E45" s="15"/>
      <c r="F45" s="15"/>
      <c r="G45" s="15" t="e">
        <f t="shared" si="0"/>
        <v>#REF!</v>
      </c>
      <c r="H45" s="16" t="e">
        <f t="shared" si="1"/>
        <v>#REF!</v>
      </c>
    </row>
    <row r="46" spans="1:8" ht="18" customHeight="1">
      <c r="A46" s="13"/>
      <c r="B46" s="32"/>
      <c r="C46" s="33"/>
      <c r="D46" s="14"/>
      <c r="E46" s="15"/>
      <c r="F46" s="15"/>
      <c r="G46" s="15" t="e">
        <f t="shared" si="0"/>
        <v>#REF!</v>
      </c>
      <c r="H46" s="16" t="e">
        <f t="shared" si="1"/>
        <v>#REF!</v>
      </c>
    </row>
    <row r="47" spans="1:8" ht="18" customHeight="1">
      <c r="A47" s="13"/>
      <c r="B47" s="32"/>
      <c r="C47" s="33"/>
      <c r="D47" s="14"/>
      <c r="E47" s="15"/>
      <c r="F47" s="15"/>
      <c r="G47" s="15" t="e">
        <f t="shared" si="0"/>
        <v>#REF!</v>
      </c>
      <c r="H47" s="16" t="e">
        <f t="shared" si="1"/>
        <v>#REF!</v>
      </c>
    </row>
    <row r="48" spans="1:8" ht="18" customHeight="1">
      <c r="A48" s="13"/>
      <c r="B48" s="32"/>
      <c r="C48" s="33"/>
      <c r="D48" s="17"/>
      <c r="E48" s="15"/>
      <c r="F48" s="15"/>
      <c r="G48" s="15" t="e">
        <f t="shared" si="0"/>
        <v>#REF!</v>
      </c>
      <c r="H48" s="16" t="e">
        <f t="shared" si="1"/>
        <v>#REF!</v>
      </c>
    </row>
    <row r="49" spans="1:10" ht="18" customHeight="1" thickBot="1">
      <c r="A49" s="39"/>
      <c r="B49" s="40"/>
      <c r="C49" s="41"/>
      <c r="D49" s="20"/>
      <c r="E49" s="21"/>
      <c r="F49" s="18"/>
      <c r="G49" s="18" t="e">
        <f>F49*$H$10</f>
        <v>#REF!</v>
      </c>
      <c r="H49" s="19" t="e">
        <f t="shared" si="1"/>
        <v>#REF!</v>
      </c>
    </row>
    <row r="50" spans="1:10" ht="18" customHeight="1" thickBot="1">
      <c r="A50" s="258" t="s">
        <v>24</v>
      </c>
      <c r="B50" s="259"/>
      <c r="C50" s="259"/>
      <c r="D50" s="259"/>
      <c r="E50" s="259"/>
      <c r="F50" s="259"/>
      <c r="G50" s="259"/>
      <c r="H50" s="42" t="e">
        <f>SUM(H13:H49)</f>
        <v>#REF!</v>
      </c>
      <c r="J50" s="61">
        <v>114842.08</v>
      </c>
    </row>
    <row r="51" spans="1:10" ht="14.25" customHeight="1">
      <c r="A51" s="22"/>
      <c r="B51" s="22"/>
      <c r="C51" s="22"/>
      <c r="D51" s="22"/>
      <c r="E51" s="22"/>
      <c r="F51" s="22"/>
      <c r="G51" s="22"/>
      <c r="H51" s="23"/>
      <c r="J51" s="61" t="e">
        <f>J50-H50</f>
        <v>#REF!</v>
      </c>
    </row>
    <row r="52" spans="1:10" ht="11.25" customHeight="1">
      <c r="A52" s="1"/>
      <c r="B52" s="1"/>
      <c r="C52" s="1"/>
      <c r="D52" s="1"/>
      <c r="E52" s="1"/>
      <c r="F52" s="1"/>
      <c r="G52" s="1"/>
      <c r="H52" s="1"/>
    </row>
    <row r="53" spans="1:10" ht="11.25" customHeight="1">
      <c r="A53" s="1"/>
      <c r="B53" s="249"/>
      <c r="C53" s="249"/>
      <c r="D53" s="1"/>
      <c r="E53" s="249" t="s">
        <v>42</v>
      </c>
      <c r="F53" s="249"/>
      <c r="G53" s="8"/>
      <c r="H53" s="1"/>
    </row>
    <row r="54" spans="1:10">
      <c r="A54" s="6"/>
      <c r="B54" s="247" t="s">
        <v>41</v>
      </c>
      <c r="C54" s="247"/>
      <c r="D54" s="6"/>
      <c r="E54" s="248" t="s">
        <v>11</v>
      </c>
      <c r="F54" s="248"/>
      <c r="G54" s="9"/>
      <c r="H54" s="6"/>
    </row>
    <row r="57" spans="1:10" ht="11.25" customHeight="1">
      <c r="A57" s="1"/>
      <c r="B57" s="249"/>
      <c r="C57" s="249"/>
      <c r="D57" s="1"/>
      <c r="E57" s="246"/>
      <c r="F57" s="246"/>
      <c r="G57" s="8"/>
      <c r="H57" s="1"/>
    </row>
    <row r="58" spans="1:10">
      <c r="A58" s="6"/>
      <c r="B58" s="247" t="s">
        <v>79</v>
      </c>
      <c r="C58" s="247"/>
      <c r="D58" s="6"/>
      <c r="E58" s="248"/>
      <c r="F58" s="248"/>
      <c r="G58" s="9"/>
      <c r="H58" s="6"/>
    </row>
    <row r="59" spans="1:10" ht="12" customHeight="1"/>
    <row r="60" spans="1:10" ht="11.25" customHeight="1"/>
    <row r="61" spans="1:10" ht="12" customHeight="1"/>
    <row r="62" spans="1:10" ht="14.1" customHeight="1"/>
    <row r="63" spans="1:10" ht="4.5" customHeight="1"/>
  </sheetData>
  <mergeCells count="25">
    <mergeCell ref="C1:H1"/>
    <mergeCell ref="A1:B1"/>
    <mergeCell ref="B54:C54"/>
    <mergeCell ref="E54:F54"/>
    <mergeCell ref="E53:F53"/>
    <mergeCell ref="B53:C53"/>
    <mergeCell ref="A8:D8"/>
    <mergeCell ref="A10:D10"/>
    <mergeCell ref="A9:D9"/>
    <mergeCell ref="A50:G50"/>
    <mergeCell ref="A11:H11"/>
    <mergeCell ref="A3:H3"/>
    <mergeCell ref="E57:F57"/>
    <mergeCell ref="B58:C58"/>
    <mergeCell ref="E58:F58"/>
    <mergeCell ref="B57:C57"/>
    <mergeCell ref="A2:H2"/>
    <mergeCell ref="F9:F10"/>
    <mergeCell ref="E9:E10"/>
    <mergeCell ref="F7:H7"/>
    <mergeCell ref="A6:E6"/>
    <mergeCell ref="A7:E7"/>
    <mergeCell ref="E8:H8"/>
    <mergeCell ref="A4:H4"/>
    <mergeCell ref="F6:H6"/>
  </mergeCells>
  <phoneticPr fontId="2" type="noConversion"/>
  <pageMargins left="0.78740157480314965" right="0.19685039370078741" top="0.39370078740157483" bottom="0.39370078740157483" header="0" footer="0"/>
  <pageSetup paperSize="9" scale="77" orientation="portrait" r:id="rId1"/>
  <headerFooter alignWithMargins="0">
    <oddHeader>&amp;R
 &amp;P de &amp;N</oddHeader>
  </headerFooter>
  <rowBreaks count="1" manualBreakCount="1">
    <brk id="35" max="7" man="1"/>
  </rowBreaks>
  <drawing r:id="rId2"/>
  <legacyDrawing r:id="rId3"/>
  <oleObjects>
    <oleObject progId="Word.Picture.8" shapeId="5123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>
    <tabColor rgb="FF7030A0"/>
  </sheetPr>
  <dimension ref="A1:L86"/>
  <sheetViews>
    <sheetView topLeftCell="C19" workbookViewId="0">
      <selection activeCell="L86" sqref="L86"/>
    </sheetView>
  </sheetViews>
  <sheetFormatPr defaultRowHeight="12.75"/>
  <cols>
    <col min="1" max="1" width="7.85546875" customWidth="1"/>
    <col min="2" max="2" width="12.7109375" customWidth="1"/>
    <col min="3" max="3" width="72.28515625" customWidth="1"/>
    <col min="4" max="4" width="7.7109375" customWidth="1"/>
    <col min="5" max="5" width="9.140625" hidden="1" customWidth="1"/>
    <col min="7" max="7" width="14.42578125" customWidth="1"/>
    <col min="8" max="8" width="14.42578125" style="76" customWidth="1"/>
    <col min="9" max="9" width="14.42578125" style="77" customWidth="1"/>
    <col min="10" max="10" width="13" customWidth="1"/>
    <col min="11" max="11" width="12.5703125" customWidth="1"/>
    <col min="12" max="12" width="13" customWidth="1"/>
  </cols>
  <sheetData>
    <row r="1" spans="1:12">
      <c r="A1" s="260" t="s">
        <v>141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1:12">
      <c r="A2" s="261" t="s">
        <v>142</v>
      </c>
      <c r="B2" s="261"/>
      <c r="C2" s="261"/>
      <c r="D2" s="261"/>
      <c r="E2" s="261"/>
      <c r="F2" s="261"/>
      <c r="G2" s="261" t="s">
        <v>143</v>
      </c>
      <c r="H2" s="261"/>
      <c r="I2" s="261"/>
      <c r="J2" s="261"/>
      <c r="K2" s="261"/>
      <c r="L2" s="261"/>
    </row>
    <row r="3" spans="1:12">
      <c r="A3" s="262" t="s">
        <v>144</v>
      </c>
      <c r="B3" s="262"/>
      <c r="C3" s="262"/>
      <c r="D3" s="262"/>
      <c r="E3" s="262"/>
      <c r="F3" s="262"/>
      <c r="G3" s="263" t="s">
        <v>145</v>
      </c>
      <c r="H3" s="263"/>
      <c r="I3" s="263"/>
      <c r="J3" s="263"/>
      <c r="K3" s="263"/>
      <c r="L3" s="263"/>
    </row>
    <row r="4" spans="1:12">
      <c r="A4" s="79" t="s">
        <v>146</v>
      </c>
      <c r="B4" s="79"/>
      <c r="C4" s="79"/>
      <c r="D4" s="263" t="s">
        <v>147</v>
      </c>
      <c r="E4" s="263"/>
      <c r="F4" s="263"/>
      <c r="G4" s="263"/>
      <c r="H4" s="263"/>
      <c r="I4" s="263"/>
      <c r="J4" s="263"/>
      <c r="K4" s="263"/>
      <c r="L4" s="263"/>
    </row>
    <row r="5" spans="1:12">
      <c r="A5" s="79" t="s">
        <v>148</v>
      </c>
      <c r="B5" s="79"/>
      <c r="C5" s="80"/>
      <c r="D5" s="266" t="s">
        <v>149</v>
      </c>
      <c r="E5" s="266"/>
      <c r="F5" s="266"/>
      <c r="G5" s="266"/>
      <c r="H5" s="266"/>
      <c r="I5" s="266"/>
      <c r="J5" s="266"/>
      <c r="K5" s="260" t="s">
        <v>150</v>
      </c>
      <c r="L5" s="260"/>
    </row>
    <row r="6" spans="1:12">
      <c r="A6" s="79" t="s">
        <v>151</v>
      </c>
      <c r="B6" s="79"/>
      <c r="C6" s="80"/>
      <c r="D6" s="266"/>
      <c r="E6" s="266"/>
      <c r="F6" s="266"/>
      <c r="G6" s="266"/>
      <c r="H6" s="266"/>
      <c r="I6" s="266"/>
      <c r="J6" s="266"/>
      <c r="K6" s="262" t="s">
        <v>152</v>
      </c>
      <c r="L6" s="262"/>
    </row>
    <row r="7" spans="1:12" ht="45" customHeight="1">
      <c r="A7" s="78" t="s">
        <v>0</v>
      </c>
      <c r="B7" s="78" t="s">
        <v>5</v>
      </c>
      <c r="C7" s="260" t="s">
        <v>153</v>
      </c>
      <c r="D7" s="260"/>
      <c r="E7" s="260"/>
      <c r="F7" s="82" t="s">
        <v>3</v>
      </c>
      <c r="G7" s="78" t="s">
        <v>2</v>
      </c>
      <c r="H7" s="83" t="s">
        <v>321</v>
      </c>
      <c r="I7" s="84" t="s">
        <v>322</v>
      </c>
      <c r="J7" s="85" t="s">
        <v>154</v>
      </c>
      <c r="K7" s="86" t="s">
        <v>155</v>
      </c>
      <c r="L7" s="78" t="s">
        <v>10</v>
      </c>
    </row>
    <row r="8" spans="1:12" s="56" customFormat="1">
      <c r="A8" s="94">
        <v>1</v>
      </c>
      <c r="B8" s="95"/>
      <c r="C8" s="264" t="s">
        <v>156</v>
      </c>
      <c r="D8" s="264"/>
      <c r="E8" s="264"/>
      <c r="F8" s="95"/>
      <c r="G8" s="96"/>
      <c r="H8" s="97"/>
      <c r="I8" s="98"/>
      <c r="J8" s="96"/>
      <c r="K8" s="96"/>
      <c r="L8" s="99"/>
    </row>
    <row r="9" spans="1:12">
      <c r="A9" s="78" t="s">
        <v>16</v>
      </c>
      <c r="B9" s="80"/>
      <c r="C9" s="265" t="s">
        <v>157</v>
      </c>
      <c r="D9" s="265"/>
      <c r="E9" s="265"/>
      <c r="F9" s="80"/>
      <c r="G9" s="81"/>
      <c r="H9" s="87"/>
      <c r="I9" s="88"/>
      <c r="J9" s="81"/>
      <c r="K9" s="81"/>
      <c r="L9" s="81"/>
    </row>
    <row r="10" spans="1:12">
      <c r="A10" s="78" t="s">
        <v>158</v>
      </c>
      <c r="B10" s="80" t="s">
        <v>159</v>
      </c>
      <c r="C10" s="265" t="s">
        <v>160</v>
      </c>
      <c r="D10" s="265"/>
      <c r="E10" s="265"/>
      <c r="F10" s="81" t="s">
        <v>161</v>
      </c>
      <c r="G10" s="81">
        <v>15</v>
      </c>
      <c r="H10" s="87">
        <f>15</f>
        <v>15</v>
      </c>
      <c r="I10" s="88">
        <f>G10-H10</f>
        <v>0</v>
      </c>
      <c r="J10" s="81">
        <v>271.23</v>
      </c>
      <c r="K10" s="90">
        <f>(J10*0.26)+J10</f>
        <v>341.74980000000005</v>
      </c>
      <c r="L10" s="89">
        <f>G10*K10</f>
        <v>5126.2470000000012</v>
      </c>
    </row>
    <row r="11" spans="1:12" ht="30.75" customHeight="1">
      <c r="A11" s="78" t="s">
        <v>162</v>
      </c>
      <c r="B11" s="80" t="s">
        <v>163</v>
      </c>
      <c r="C11" s="268" t="s">
        <v>164</v>
      </c>
      <c r="D11" s="268"/>
      <c r="E11" s="268"/>
      <c r="F11" s="81" t="s">
        <v>165</v>
      </c>
      <c r="G11" s="81">
        <v>1</v>
      </c>
      <c r="H11" s="87">
        <f>1</f>
        <v>1</v>
      </c>
      <c r="I11" s="88">
        <f t="shared" ref="I11:I74" si="0">G11-H11</f>
        <v>0</v>
      </c>
      <c r="J11" s="81">
        <v>723.45</v>
      </c>
      <c r="K11" s="90">
        <f t="shared" ref="K11:K74" si="1">(J11*0.26)+J11</f>
        <v>911.54700000000003</v>
      </c>
      <c r="L11" s="89">
        <f t="shared" ref="L11:L74" si="2">G11*K11</f>
        <v>911.54700000000003</v>
      </c>
    </row>
    <row r="12" spans="1:12">
      <c r="A12" s="78" t="s">
        <v>166</v>
      </c>
      <c r="B12" s="80" t="s">
        <v>167</v>
      </c>
      <c r="C12" s="265" t="s">
        <v>168</v>
      </c>
      <c r="D12" s="265"/>
      <c r="E12" s="265"/>
      <c r="F12" s="81" t="s">
        <v>165</v>
      </c>
      <c r="G12" s="81">
        <v>1</v>
      </c>
      <c r="H12" s="87">
        <f>1</f>
        <v>1</v>
      </c>
      <c r="I12" s="88">
        <f t="shared" si="0"/>
        <v>0</v>
      </c>
      <c r="J12" s="81">
        <v>867.55</v>
      </c>
      <c r="K12" s="90">
        <f t="shared" si="1"/>
        <v>1093.1129999999998</v>
      </c>
      <c r="L12" s="89">
        <f t="shared" si="2"/>
        <v>1093.1129999999998</v>
      </c>
    </row>
    <row r="13" spans="1:12">
      <c r="A13" s="78" t="s">
        <v>169</v>
      </c>
      <c r="B13" s="80" t="s">
        <v>170</v>
      </c>
      <c r="C13" s="265" t="s">
        <v>171</v>
      </c>
      <c r="D13" s="265"/>
      <c r="E13" s="265"/>
      <c r="F13" s="81" t="s">
        <v>165</v>
      </c>
      <c r="G13" s="81">
        <v>1</v>
      </c>
      <c r="H13" s="87">
        <f>1</f>
        <v>1</v>
      </c>
      <c r="I13" s="88">
        <f t="shared" si="0"/>
        <v>0</v>
      </c>
      <c r="J13" s="81">
        <v>398.25</v>
      </c>
      <c r="K13" s="90">
        <f t="shared" si="1"/>
        <v>501.79500000000002</v>
      </c>
      <c r="L13" s="89">
        <f t="shared" si="2"/>
        <v>501.79500000000002</v>
      </c>
    </row>
    <row r="14" spans="1:12">
      <c r="A14" s="78"/>
      <c r="B14" s="80"/>
      <c r="C14" s="265"/>
      <c r="D14" s="265"/>
      <c r="E14" s="80"/>
      <c r="F14" s="81"/>
      <c r="G14" s="81"/>
      <c r="H14" s="87"/>
      <c r="I14" s="88">
        <f t="shared" si="0"/>
        <v>0</v>
      </c>
      <c r="J14" s="81"/>
      <c r="K14" s="90"/>
      <c r="L14" s="89"/>
    </row>
    <row r="15" spans="1:12" s="56" customFormat="1">
      <c r="A15" s="94">
        <v>2</v>
      </c>
      <c r="B15" s="95"/>
      <c r="C15" s="267" t="s">
        <v>172</v>
      </c>
      <c r="D15" s="267"/>
      <c r="E15" s="95"/>
      <c r="F15" s="96"/>
      <c r="G15" s="96"/>
      <c r="H15" s="97"/>
      <c r="I15" s="98">
        <f t="shared" si="0"/>
        <v>0</v>
      </c>
      <c r="J15" s="96"/>
      <c r="K15" s="100"/>
      <c r="L15" s="99"/>
    </row>
    <row r="16" spans="1:12">
      <c r="A16" s="78" t="s">
        <v>19</v>
      </c>
      <c r="B16" s="80"/>
      <c r="C16" s="265" t="s">
        <v>17</v>
      </c>
      <c r="D16" s="265"/>
      <c r="E16" s="80"/>
      <c r="F16" s="81"/>
      <c r="G16" s="81"/>
      <c r="H16" s="87"/>
      <c r="I16" s="88">
        <f t="shared" si="0"/>
        <v>0</v>
      </c>
      <c r="J16" s="81"/>
      <c r="K16" s="90"/>
      <c r="L16" s="89"/>
    </row>
    <row r="17" spans="1:12" ht="30" customHeight="1">
      <c r="A17" s="78" t="s">
        <v>71</v>
      </c>
      <c r="B17" s="80" t="s">
        <v>173</v>
      </c>
      <c r="C17" s="268" t="s">
        <v>174</v>
      </c>
      <c r="D17" s="268"/>
      <c r="E17" s="80"/>
      <c r="F17" s="81" t="s">
        <v>161</v>
      </c>
      <c r="G17" s="91">
        <v>2404.42</v>
      </c>
      <c r="H17" s="92">
        <f>2404.42</f>
        <v>2404.42</v>
      </c>
      <c r="I17" s="88">
        <f t="shared" si="0"/>
        <v>0</v>
      </c>
      <c r="J17" s="81">
        <v>5.61</v>
      </c>
      <c r="K17" s="90">
        <f t="shared" si="1"/>
        <v>7.0686</v>
      </c>
      <c r="L17" s="89">
        <f t="shared" si="2"/>
        <v>16995.883212000001</v>
      </c>
    </row>
    <row r="18" spans="1:12">
      <c r="A18" s="78"/>
      <c r="B18" s="80"/>
      <c r="C18" s="265"/>
      <c r="D18" s="265"/>
      <c r="E18" s="80"/>
      <c r="F18" s="81"/>
      <c r="G18" s="81"/>
      <c r="H18" s="87"/>
      <c r="I18" s="88">
        <f t="shared" si="0"/>
        <v>0</v>
      </c>
      <c r="J18" s="81"/>
      <c r="K18" s="90"/>
      <c r="L18" s="89"/>
    </row>
    <row r="19" spans="1:12" s="56" customFormat="1">
      <c r="A19" s="101">
        <v>3</v>
      </c>
      <c r="B19" s="95"/>
      <c r="C19" s="267" t="s">
        <v>117</v>
      </c>
      <c r="D19" s="267"/>
      <c r="E19" s="95"/>
      <c r="F19" s="96"/>
      <c r="G19" s="96"/>
      <c r="H19" s="97"/>
      <c r="I19" s="98">
        <f t="shared" si="0"/>
        <v>0</v>
      </c>
      <c r="J19" s="96"/>
      <c r="K19" s="100"/>
      <c r="L19" s="99"/>
    </row>
    <row r="20" spans="1:12">
      <c r="A20" s="78" t="s">
        <v>22</v>
      </c>
      <c r="B20" s="80"/>
      <c r="C20" s="265" t="s">
        <v>175</v>
      </c>
      <c r="D20" s="265"/>
      <c r="E20" s="80"/>
      <c r="F20" s="81"/>
      <c r="G20" s="81"/>
      <c r="H20" s="87"/>
      <c r="I20" s="88">
        <f t="shared" si="0"/>
        <v>0</v>
      </c>
      <c r="J20" s="81"/>
      <c r="K20" s="90"/>
      <c r="L20" s="89"/>
    </row>
    <row r="21" spans="1:12" ht="30.75" customHeight="1">
      <c r="A21" s="78" t="s">
        <v>73</v>
      </c>
      <c r="B21" s="80" t="s">
        <v>176</v>
      </c>
      <c r="C21" s="268" t="s">
        <v>177</v>
      </c>
      <c r="D21" s="268"/>
      <c r="E21" s="80"/>
      <c r="F21" s="81" t="s">
        <v>161</v>
      </c>
      <c r="G21" s="91">
        <v>1326.61</v>
      </c>
      <c r="H21" s="92"/>
      <c r="I21" s="88">
        <f t="shared" si="0"/>
        <v>1326.61</v>
      </c>
      <c r="J21" s="81">
        <v>12.79</v>
      </c>
      <c r="K21" s="90">
        <f t="shared" si="1"/>
        <v>16.115399999999998</v>
      </c>
      <c r="L21" s="89">
        <f t="shared" si="2"/>
        <v>21378.850793999994</v>
      </c>
    </row>
    <row r="22" spans="1:12" ht="30.75" customHeight="1">
      <c r="A22" s="78" t="s">
        <v>74</v>
      </c>
      <c r="B22" s="80" t="s">
        <v>178</v>
      </c>
      <c r="C22" s="268" t="s">
        <v>179</v>
      </c>
      <c r="D22" s="268"/>
      <c r="E22" s="80"/>
      <c r="F22" s="81" t="s">
        <v>165</v>
      </c>
      <c r="G22" s="81">
        <v>72</v>
      </c>
      <c r="H22" s="87"/>
      <c r="I22" s="88">
        <f t="shared" si="0"/>
        <v>72</v>
      </c>
      <c r="J22" s="81">
        <v>5.47</v>
      </c>
      <c r="K22" s="90">
        <f t="shared" si="1"/>
        <v>6.8921999999999999</v>
      </c>
      <c r="L22" s="89">
        <f t="shared" si="2"/>
        <v>496.23840000000001</v>
      </c>
    </row>
    <row r="23" spans="1:12">
      <c r="A23" s="78" t="s">
        <v>75</v>
      </c>
      <c r="B23" s="80" t="s">
        <v>180</v>
      </c>
      <c r="C23" s="265" t="s">
        <v>181</v>
      </c>
      <c r="D23" s="265"/>
      <c r="E23" s="80"/>
      <c r="F23" s="81" t="s">
        <v>165</v>
      </c>
      <c r="G23" s="81">
        <v>32</v>
      </c>
      <c r="H23" s="87"/>
      <c r="I23" s="88">
        <f t="shared" si="0"/>
        <v>32</v>
      </c>
      <c r="J23" s="81">
        <v>14.01</v>
      </c>
      <c r="K23" s="90">
        <f t="shared" si="1"/>
        <v>17.6526</v>
      </c>
      <c r="L23" s="89">
        <f t="shared" si="2"/>
        <v>564.88319999999999</v>
      </c>
    </row>
    <row r="24" spans="1:12">
      <c r="A24" s="78" t="s">
        <v>182</v>
      </c>
      <c r="B24" s="80" t="s">
        <v>180</v>
      </c>
      <c r="C24" s="265" t="s">
        <v>183</v>
      </c>
      <c r="D24" s="265"/>
      <c r="E24" s="80"/>
      <c r="F24" s="81" t="s">
        <v>165</v>
      </c>
      <c r="G24" s="81">
        <v>27</v>
      </c>
      <c r="H24" s="87"/>
      <c r="I24" s="88">
        <f t="shared" si="0"/>
        <v>27</v>
      </c>
      <c r="J24" s="81">
        <v>17.420000000000002</v>
      </c>
      <c r="K24" s="90">
        <f t="shared" si="1"/>
        <v>21.949200000000001</v>
      </c>
      <c r="L24" s="89">
        <f t="shared" si="2"/>
        <v>592.62840000000006</v>
      </c>
    </row>
    <row r="25" spans="1:12">
      <c r="A25" s="78" t="s">
        <v>184</v>
      </c>
      <c r="B25" s="80" t="s">
        <v>185</v>
      </c>
      <c r="C25" s="265" t="s">
        <v>186</v>
      </c>
      <c r="D25" s="265"/>
      <c r="E25" s="80"/>
      <c r="F25" s="81" t="s">
        <v>165</v>
      </c>
      <c r="G25" s="81">
        <v>13</v>
      </c>
      <c r="H25" s="87"/>
      <c r="I25" s="88">
        <f t="shared" si="0"/>
        <v>13</v>
      </c>
      <c r="J25" s="81">
        <v>53.79</v>
      </c>
      <c r="K25" s="90">
        <f t="shared" si="1"/>
        <v>67.775400000000005</v>
      </c>
      <c r="L25" s="89">
        <f t="shared" si="2"/>
        <v>881.0802000000001</v>
      </c>
    </row>
    <row r="26" spans="1:12">
      <c r="A26" s="78" t="s">
        <v>187</v>
      </c>
      <c r="B26" s="80" t="s">
        <v>188</v>
      </c>
      <c r="C26" s="265" t="s">
        <v>189</v>
      </c>
      <c r="D26" s="265"/>
      <c r="E26" s="80"/>
      <c r="F26" s="81" t="s">
        <v>23</v>
      </c>
      <c r="G26" s="81">
        <v>538.55999999999995</v>
      </c>
      <c r="H26" s="87">
        <f>60+478.56</f>
        <v>538.55999999999995</v>
      </c>
      <c r="I26" s="88">
        <f t="shared" si="0"/>
        <v>0</v>
      </c>
      <c r="J26" s="81">
        <v>13.95</v>
      </c>
      <c r="K26" s="90">
        <f t="shared" si="1"/>
        <v>17.576999999999998</v>
      </c>
      <c r="L26" s="89">
        <f t="shared" si="2"/>
        <v>9466.2691199999972</v>
      </c>
    </row>
    <row r="27" spans="1:12">
      <c r="A27" s="78"/>
      <c r="B27" s="80"/>
      <c r="C27" s="265"/>
      <c r="D27" s="265"/>
      <c r="E27" s="80"/>
      <c r="F27" s="81"/>
      <c r="G27" s="81"/>
      <c r="H27" s="87"/>
      <c r="I27" s="88">
        <f t="shared" si="0"/>
        <v>0</v>
      </c>
      <c r="J27" s="81"/>
      <c r="K27" s="90"/>
      <c r="L27" s="89"/>
    </row>
    <row r="28" spans="1:12" s="56" customFormat="1">
      <c r="A28" s="94">
        <v>4</v>
      </c>
      <c r="B28" s="95"/>
      <c r="C28" s="267" t="s">
        <v>190</v>
      </c>
      <c r="D28" s="267"/>
      <c r="E28" s="95"/>
      <c r="F28" s="96"/>
      <c r="G28" s="96"/>
      <c r="H28" s="97"/>
      <c r="I28" s="98">
        <f t="shared" si="0"/>
        <v>0</v>
      </c>
      <c r="J28" s="96"/>
      <c r="K28" s="100"/>
      <c r="L28" s="99"/>
    </row>
    <row r="29" spans="1:12">
      <c r="A29" s="78" t="s">
        <v>120</v>
      </c>
      <c r="B29" s="80"/>
      <c r="C29" s="265" t="s">
        <v>191</v>
      </c>
      <c r="D29" s="265"/>
      <c r="E29" s="80"/>
      <c r="F29" s="81"/>
      <c r="G29" s="81"/>
      <c r="H29" s="87"/>
      <c r="I29" s="88">
        <f t="shared" si="0"/>
        <v>0</v>
      </c>
      <c r="J29" s="81"/>
      <c r="K29" s="90"/>
      <c r="L29" s="89"/>
    </row>
    <row r="30" spans="1:12" ht="29.25" customHeight="1">
      <c r="A30" s="78" t="s">
        <v>76</v>
      </c>
      <c r="B30" s="80" t="s">
        <v>192</v>
      </c>
      <c r="C30" s="268" t="s">
        <v>193</v>
      </c>
      <c r="D30" s="268"/>
      <c r="E30" s="80"/>
      <c r="F30" s="81" t="s">
        <v>165</v>
      </c>
      <c r="G30" s="81">
        <v>1</v>
      </c>
      <c r="H30" s="87">
        <f>1</f>
        <v>1</v>
      </c>
      <c r="I30" s="88">
        <f t="shared" si="0"/>
        <v>0</v>
      </c>
      <c r="J30" s="81">
        <v>19.32</v>
      </c>
      <c r="K30" s="90">
        <f t="shared" si="1"/>
        <v>24.3432</v>
      </c>
      <c r="L30" s="89">
        <f t="shared" si="2"/>
        <v>24.3432</v>
      </c>
    </row>
    <row r="31" spans="1:12" ht="15" customHeight="1">
      <c r="A31" s="78" t="s">
        <v>77</v>
      </c>
      <c r="B31" s="80" t="s">
        <v>194</v>
      </c>
      <c r="C31" s="268" t="s">
        <v>195</v>
      </c>
      <c r="D31" s="268"/>
      <c r="E31" s="80"/>
      <c r="F31" s="81" t="s">
        <v>165</v>
      </c>
      <c r="G31" s="81">
        <v>1</v>
      </c>
      <c r="H31" s="87">
        <f>1</f>
        <v>1</v>
      </c>
      <c r="I31" s="88">
        <f t="shared" si="0"/>
        <v>0</v>
      </c>
      <c r="J31" s="81">
        <v>8121.89</v>
      </c>
      <c r="K31" s="90">
        <f t="shared" si="1"/>
        <v>10233.581400000001</v>
      </c>
      <c r="L31" s="89">
        <f t="shared" si="2"/>
        <v>10233.581400000001</v>
      </c>
    </row>
    <row r="32" spans="1:12">
      <c r="A32" s="78" t="s">
        <v>78</v>
      </c>
      <c r="B32" s="80" t="s">
        <v>196</v>
      </c>
      <c r="C32" s="263" t="s">
        <v>197</v>
      </c>
      <c r="D32" s="263"/>
      <c r="E32" s="80"/>
      <c r="F32" s="81" t="s">
        <v>165</v>
      </c>
      <c r="G32" s="81">
        <v>4</v>
      </c>
      <c r="H32" s="87">
        <f>4</f>
        <v>4</v>
      </c>
      <c r="I32" s="88">
        <f t="shared" si="0"/>
        <v>0</v>
      </c>
      <c r="J32" s="81">
        <v>17.649999999999999</v>
      </c>
      <c r="K32" s="90">
        <f t="shared" si="1"/>
        <v>22.238999999999997</v>
      </c>
      <c r="L32" s="89">
        <f t="shared" si="2"/>
        <v>88.955999999999989</v>
      </c>
    </row>
    <row r="33" spans="1:12">
      <c r="A33" s="78" t="s">
        <v>198</v>
      </c>
      <c r="B33" s="80" t="s">
        <v>199</v>
      </c>
      <c r="C33" s="263" t="s">
        <v>200</v>
      </c>
      <c r="D33" s="263"/>
      <c r="E33" s="80"/>
      <c r="F33" s="81" t="s">
        <v>165</v>
      </c>
      <c r="G33" s="81">
        <v>2</v>
      </c>
      <c r="H33" s="87">
        <f>2</f>
        <v>2</v>
      </c>
      <c r="I33" s="88">
        <f t="shared" si="0"/>
        <v>0</v>
      </c>
      <c r="J33" s="81">
        <v>46.43</v>
      </c>
      <c r="K33" s="90">
        <f t="shared" si="1"/>
        <v>58.501800000000003</v>
      </c>
      <c r="L33" s="89">
        <f t="shared" si="2"/>
        <v>117.00360000000001</v>
      </c>
    </row>
    <row r="34" spans="1:12">
      <c r="A34" s="78" t="s">
        <v>201</v>
      </c>
      <c r="B34" s="80" t="s">
        <v>202</v>
      </c>
      <c r="C34" s="263" t="s">
        <v>203</v>
      </c>
      <c r="D34" s="263"/>
      <c r="E34" s="80"/>
      <c r="F34" s="81" t="s">
        <v>204</v>
      </c>
      <c r="G34" s="81">
        <v>2</v>
      </c>
      <c r="H34" s="87">
        <f>2</f>
        <v>2</v>
      </c>
      <c r="I34" s="88">
        <f t="shared" si="0"/>
        <v>0</v>
      </c>
      <c r="J34" s="81">
        <v>50.73</v>
      </c>
      <c r="K34" s="90">
        <f t="shared" si="1"/>
        <v>63.919799999999995</v>
      </c>
      <c r="L34" s="89">
        <f t="shared" si="2"/>
        <v>127.83959999999999</v>
      </c>
    </row>
    <row r="35" spans="1:12">
      <c r="A35" s="78" t="s">
        <v>205</v>
      </c>
      <c r="B35" s="80" t="s">
        <v>206</v>
      </c>
      <c r="C35" s="263" t="s">
        <v>207</v>
      </c>
      <c r="D35" s="263"/>
      <c r="E35" s="80"/>
      <c r="F35" s="81" t="s">
        <v>23</v>
      </c>
      <c r="G35" s="81">
        <v>42</v>
      </c>
      <c r="H35" s="87">
        <f>42</f>
        <v>42</v>
      </c>
      <c r="I35" s="88">
        <f t="shared" si="0"/>
        <v>0</v>
      </c>
      <c r="J35" s="81">
        <v>14.15</v>
      </c>
      <c r="K35" s="90">
        <f t="shared" si="1"/>
        <v>17.829000000000001</v>
      </c>
      <c r="L35" s="89">
        <f t="shared" si="2"/>
        <v>748.81799999999998</v>
      </c>
    </row>
    <row r="36" spans="1:12">
      <c r="A36" s="78" t="s">
        <v>208</v>
      </c>
      <c r="B36" s="80" t="s">
        <v>209</v>
      </c>
      <c r="C36" s="263" t="s">
        <v>210</v>
      </c>
      <c r="D36" s="263"/>
      <c r="E36" s="80"/>
      <c r="F36" s="81" t="s">
        <v>23</v>
      </c>
      <c r="G36" s="81">
        <v>20</v>
      </c>
      <c r="H36" s="87">
        <f>20</f>
        <v>20</v>
      </c>
      <c r="I36" s="88">
        <f t="shared" si="0"/>
        <v>0</v>
      </c>
      <c r="J36" s="81">
        <v>10.220000000000001</v>
      </c>
      <c r="K36" s="90">
        <f t="shared" si="1"/>
        <v>12.877200000000002</v>
      </c>
      <c r="L36" s="89">
        <f t="shared" si="2"/>
        <v>257.54400000000004</v>
      </c>
    </row>
    <row r="37" spans="1:12">
      <c r="A37" s="78" t="s">
        <v>211</v>
      </c>
      <c r="B37" s="80" t="s">
        <v>212</v>
      </c>
      <c r="C37" s="263" t="s">
        <v>213</v>
      </c>
      <c r="D37" s="263"/>
      <c r="E37" s="80"/>
      <c r="F37" s="81" t="s">
        <v>23</v>
      </c>
      <c r="G37" s="81">
        <v>24</v>
      </c>
      <c r="H37" s="87">
        <f>24</f>
        <v>24</v>
      </c>
      <c r="I37" s="88">
        <f t="shared" si="0"/>
        <v>0</v>
      </c>
      <c r="J37" s="81">
        <v>17.809999999999999</v>
      </c>
      <c r="K37" s="90">
        <f t="shared" si="1"/>
        <v>22.440599999999996</v>
      </c>
      <c r="L37" s="89">
        <f t="shared" si="2"/>
        <v>538.57439999999997</v>
      </c>
    </row>
    <row r="38" spans="1:12">
      <c r="A38" s="78" t="s">
        <v>214</v>
      </c>
      <c r="B38" s="80" t="s">
        <v>215</v>
      </c>
      <c r="C38" s="263" t="s">
        <v>216</v>
      </c>
      <c r="D38" s="263"/>
      <c r="E38" s="80"/>
      <c r="F38" s="81" t="s">
        <v>23</v>
      </c>
      <c r="G38" s="81">
        <v>178.39</v>
      </c>
      <c r="H38" s="87">
        <f>178.39</f>
        <v>178.39</v>
      </c>
      <c r="I38" s="88">
        <f t="shared" si="0"/>
        <v>0</v>
      </c>
      <c r="J38" s="81">
        <v>20.420000000000002</v>
      </c>
      <c r="K38" s="90">
        <f t="shared" si="1"/>
        <v>25.729200000000002</v>
      </c>
      <c r="L38" s="89">
        <f t="shared" si="2"/>
        <v>4589.8319879999999</v>
      </c>
    </row>
    <row r="39" spans="1:12">
      <c r="A39" s="78" t="s">
        <v>217</v>
      </c>
      <c r="B39" s="80" t="s">
        <v>218</v>
      </c>
      <c r="C39" s="263" t="s">
        <v>219</v>
      </c>
      <c r="D39" s="263"/>
      <c r="E39" s="80"/>
      <c r="F39" s="81" t="s">
        <v>165</v>
      </c>
      <c r="G39" s="81">
        <v>1</v>
      </c>
      <c r="H39" s="87"/>
      <c r="I39" s="88">
        <f t="shared" si="0"/>
        <v>1</v>
      </c>
      <c r="J39" s="81">
        <v>884.76</v>
      </c>
      <c r="K39" s="90">
        <f t="shared" si="1"/>
        <v>1114.7975999999999</v>
      </c>
      <c r="L39" s="89">
        <f t="shared" si="2"/>
        <v>1114.7975999999999</v>
      </c>
    </row>
    <row r="40" spans="1:12">
      <c r="A40" s="78" t="s">
        <v>220</v>
      </c>
      <c r="B40" s="80" t="s">
        <v>221</v>
      </c>
      <c r="C40" s="263" t="s">
        <v>222</v>
      </c>
      <c r="D40" s="263"/>
      <c r="E40" s="80"/>
      <c r="F40" s="81" t="s">
        <v>165</v>
      </c>
      <c r="G40" s="81">
        <v>16</v>
      </c>
      <c r="H40" s="87">
        <f>16</f>
        <v>16</v>
      </c>
      <c r="I40" s="88">
        <f t="shared" si="0"/>
        <v>0</v>
      </c>
      <c r="J40" s="81">
        <v>30.59</v>
      </c>
      <c r="K40" s="90">
        <f t="shared" si="1"/>
        <v>38.543399999999998</v>
      </c>
      <c r="L40" s="89">
        <f t="shared" si="2"/>
        <v>616.69439999999997</v>
      </c>
    </row>
    <row r="41" spans="1:12">
      <c r="A41" s="80"/>
      <c r="B41" s="80"/>
      <c r="C41" s="263"/>
      <c r="D41" s="263"/>
      <c r="E41" s="80"/>
      <c r="F41" s="80"/>
      <c r="G41" s="81"/>
      <c r="H41" s="87"/>
      <c r="I41" s="88">
        <f t="shared" si="0"/>
        <v>0</v>
      </c>
      <c r="J41" s="81"/>
      <c r="K41" s="90"/>
      <c r="L41" s="89"/>
    </row>
    <row r="42" spans="1:12" s="56" customFormat="1">
      <c r="A42" s="96">
        <v>5</v>
      </c>
      <c r="B42" s="95"/>
      <c r="C42" s="264" t="s">
        <v>223</v>
      </c>
      <c r="D42" s="264"/>
      <c r="E42" s="95"/>
      <c r="F42" s="95"/>
      <c r="G42" s="96"/>
      <c r="H42" s="97"/>
      <c r="I42" s="98">
        <f t="shared" si="0"/>
        <v>0</v>
      </c>
      <c r="J42" s="96"/>
      <c r="K42" s="100"/>
      <c r="L42" s="99"/>
    </row>
    <row r="43" spans="1:12">
      <c r="A43" s="78" t="s">
        <v>224</v>
      </c>
      <c r="B43" s="80"/>
      <c r="C43" s="263" t="s">
        <v>225</v>
      </c>
      <c r="D43" s="263"/>
      <c r="E43" s="80"/>
      <c r="F43" s="80"/>
      <c r="G43" s="81"/>
      <c r="H43" s="87"/>
      <c r="I43" s="88">
        <f t="shared" si="0"/>
        <v>0</v>
      </c>
      <c r="J43" s="81"/>
      <c r="K43" s="90"/>
      <c r="L43" s="89"/>
    </row>
    <row r="44" spans="1:12">
      <c r="A44" s="78" t="s">
        <v>226</v>
      </c>
      <c r="B44" s="80" t="s">
        <v>123</v>
      </c>
      <c r="C44" s="263" t="s">
        <v>227</v>
      </c>
      <c r="D44" s="263"/>
      <c r="E44" s="80"/>
      <c r="F44" s="81" t="s">
        <v>23</v>
      </c>
      <c r="G44" s="81">
        <v>240</v>
      </c>
      <c r="H44" s="87">
        <f>240</f>
        <v>240</v>
      </c>
      <c r="I44" s="88">
        <f t="shared" si="0"/>
        <v>0</v>
      </c>
      <c r="J44" s="81">
        <v>10.58</v>
      </c>
      <c r="K44" s="90">
        <f t="shared" si="1"/>
        <v>13.3308</v>
      </c>
      <c r="L44" s="89">
        <f t="shared" si="2"/>
        <v>3199.3919999999998</v>
      </c>
    </row>
    <row r="45" spans="1:12">
      <c r="A45" s="78" t="s">
        <v>228</v>
      </c>
      <c r="B45" s="80" t="s">
        <v>229</v>
      </c>
      <c r="C45" s="263" t="s">
        <v>230</v>
      </c>
      <c r="D45" s="263"/>
      <c r="E45" s="80"/>
      <c r="F45" s="81" t="s">
        <v>23</v>
      </c>
      <c r="G45" s="81">
        <v>120</v>
      </c>
      <c r="H45" s="87">
        <f>120</f>
        <v>120</v>
      </c>
      <c r="I45" s="88">
        <f t="shared" si="0"/>
        <v>0</v>
      </c>
      <c r="J45" s="81">
        <v>11.03</v>
      </c>
      <c r="K45" s="90">
        <f t="shared" si="1"/>
        <v>13.8978</v>
      </c>
      <c r="L45" s="89">
        <f t="shared" si="2"/>
        <v>1667.7360000000001</v>
      </c>
    </row>
    <row r="46" spans="1:12">
      <c r="A46" s="78" t="s">
        <v>231</v>
      </c>
      <c r="B46" s="80" t="s">
        <v>137</v>
      </c>
      <c r="C46" s="263" t="s">
        <v>232</v>
      </c>
      <c r="D46" s="263"/>
      <c r="E46" s="80"/>
      <c r="F46" s="81" t="s">
        <v>165</v>
      </c>
      <c r="G46" s="81">
        <v>1</v>
      </c>
      <c r="H46" s="87">
        <f>1</f>
        <v>1</v>
      </c>
      <c r="I46" s="88">
        <f t="shared" si="0"/>
        <v>0</v>
      </c>
      <c r="J46" s="81">
        <v>1546.05</v>
      </c>
      <c r="K46" s="90">
        <f t="shared" si="1"/>
        <v>1948.0229999999999</v>
      </c>
      <c r="L46" s="89">
        <f t="shared" si="2"/>
        <v>1948.0229999999999</v>
      </c>
    </row>
    <row r="47" spans="1:12">
      <c r="A47" s="78" t="s">
        <v>233</v>
      </c>
      <c r="B47" s="80" t="s">
        <v>234</v>
      </c>
      <c r="C47" s="263" t="s">
        <v>235</v>
      </c>
      <c r="D47" s="263"/>
      <c r="E47" s="80"/>
      <c r="F47" s="81" t="s">
        <v>165</v>
      </c>
      <c r="G47" s="81">
        <v>1</v>
      </c>
      <c r="H47" s="87">
        <f>1</f>
        <v>1</v>
      </c>
      <c r="I47" s="88">
        <f t="shared" si="0"/>
        <v>0</v>
      </c>
      <c r="J47" s="81">
        <v>161.35</v>
      </c>
      <c r="K47" s="90">
        <f t="shared" si="1"/>
        <v>203.30099999999999</v>
      </c>
      <c r="L47" s="89">
        <f t="shared" si="2"/>
        <v>203.30099999999999</v>
      </c>
    </row>
    <row r="48" spans="1:12" ht="29.25" customHeight="1">
      <c r="A48" s="78" t="s">
        <v>236</v>
      </c>
      <c r="B48" s="80" t="s">
        <v>237</v>
      </c>
      <c r="C48" s="268" t="s">
        <v>238</v>
      </c>
      <c r="D48" s="268"/>
      <c r="E48" s="80"/>
      <c r="F48" s="81" t="s">
        <v>23</v>
      </c>
      <c r="G48" s="81">
        <v>260</v>
      </c>
      <c r="H48" s="87">
        <f>260</f>
        <v>260</v>
      </c>
      <c r="I48" s="88">
        <f t="shared" si="0"/>
        <v>0</v>
      </c>
      <c r="J48" s="81">
        <v>8.86</v>
      </c>
      <c r="K48" s="90">
        <f t="shared" si="1"/>
        <v>11.163599999999999</v>
      </c>
      <c r="L48" s="89">
        <f t="shared" si="2"/>
        <v>2902.5359999999996</v>
      </c>
    </row>
    <row r="49" spans="1:12" ht="29.25" customHeight="1">
      <c r="A49" s="78" t="s">
        <v>239</v>
      </c>
      <c r="B49" s="80" t="s">
        <v>240</v>
      </c>
      <c r="C49" s="268" t="s">
        <v>241</v>
      </c>
      <c r="D49" s="268"/>
      <c r="E49" s="80"/>
      <c r="F49" s="81" t="s">
        <v>23</v>
      </c>
      <c r="G49" s="81">
        <v>10</v>
      </c>
      <c r="H49" s="87">
        <f>10</f>
        <v>10</v>
      </c>
      <c r="I49" s="88">
        <f t="shared" si="0"/>
        <v>0</v>
      </c>
      <c r="J49" s="81">
        <v>6.31</v>
      </c>
      <c r="K49" s="90">
        <f t="shared" si="1"/>
        <v>7.9505999999999997</v>
      </c>
      <c r="L49" s="89">
        <f t="shared" si="2"/>
        <v>79.506</v>
      </c>
    </row>
    <row r="50" spans="1:12">
      <c r="A50" s="78" t="s">
        <v>242</v>
      </c>
      <c r="B50" s="80" t="s">
        <v>243</v>
      </c>
      <c r="C50" s="263" t="s">
        <v>244</v>
      </c>
      <c r="D50" s="263"/>
      <c r="E50" s="80"/>
      <c r="F50" s="81" t="s">
        <v>23</v>
      </c>
      <c r="G50" s="91">
        <v>1100</v>
      </c>
      <c r="H50" s="92">
        <f>1100</f>
        <v>1100</v>
      </c>
      <c r="I50" s="88">
        <f t="shared" si="0"/>
        <v>0</v>
      </c>
      <c r="J50" s="81">
        <v>3.5</v>
      </c>
      <c r="K50" s="90">
        <f t="shared" si="1"/>
        <v>4.41</v>
      </c>
      <c r="L50" s="89">
        <f t="shared" si="2"/>
        <v>4851</v>
      </c>
    </row>
    <row r="51" spans="1:12">
      <c r="A51" s="78" t="s">
        <v>245</v>
      </c>
      <c r="B51" s="80" t="s">
        <v>246</v>
      </c>
      <c r="C51" s="263" t="s">
        <v>247</v>
      </c>
      <c r="D51" s="263"/>
      <c r="E51" s="80"/>
      <c r="F51" s="81" t="s">
        <v>23</v>
      </c>
      <c r="G51" s="81">
        <v>550</v>
      </c>
      <c r="H51" s="87">
        <f>550</f>
        <v>550</v>
      </c>
      <c r="I51" s="88">
        <f t="shared" si="0"/>
        <v>0</v>
      </c>
      <c r="J51" s="81">
        <v>3.5</v>
      </c>
      <c r="K51" s="90">
        <f t="shared" si="1"/>
        <v>4.41</v>
      </c>
      <c r="L51" s="89">
        <f t="shared" si="2"/>
        <v>2425.5</v>
      </c>
    </row>
    <row r="52" spans="1:12">
      <c r="A52" s="78" t="s">
        <v>248</v>
      </c>
      <c r="B52" s="80" t="s">
        <v>249</v>
      </c>
      <c r="C52" s="263" t="s">
        <v>250</v>
      </c>
      <c r="D52" s="263"/>
      <c r="E52" s="80"/>
      <c r="F52" s="81" t="s">
        <v>23</v>
      </c>
      <c r="G52" s="81">
        <v>550</v>
      </c>
      <c r="H52" s="87">
        <f>550</f>
        <v>550</v>
      </c>
      <c r="I52" s="88">
        <f t="shared" si="0"/>
        <v>0</v>
      </c>
      <c r="J52" s="81">
        <v>3</v>
      </c>
      <c r="K52" s="90">
        <f t="shared" si="1"/>
        <v>3.7800000000000002</v>
      </c>
      <c r="L52" s="89">
        <f t="shared" si="2"/>
        <v>2079</v>
      </c>
    </row>
    <row r="53" spans="1:12">
      <c r="A53" s="78" t="s">
        <v>251</v>
      </c>
      <c r="B53" s="80" t="s">
        <v>252</v>
      </c>
      <c r="C53" s="263" t="s">
        <v>253</v>
      </c>
      <c r="D53" s="263"/>
      <c r="E53" s="80"/>
      <c r="F53" s="81" t="s">
        <v>23</v>
      </c>
      <c r="G53" s="81">
        <v>300</v>
      </c>
      <c r="H53" s="87">
        <f>300</f>
        <v>300</v>
      </c>
      <c r="I53" s="88">
        <f t="shared" si="0"/>
        <v>0</v>
      </c>
      <c r="J53" s="81">
        <v>3.5</v>
      </c>
      <c r="K53" s="90">
        <f t="shared" si="1"/>
        <v>4.41</v>
      </c>
      <c r="L53" s="89">
        <f t="shared" si="2"/>
        <v>1323</v>
      </c>
    </row>
    <row r="54" spans="1:12">
      <c r="A54" s="78" t="s">
        <v>254</v>
      </c>
      <c r="B54" s="80" t="s">
        <v>255</v>
      </c>
      <c r="C54" s="263" t="s">
        <v>256</v>
      </c>
      <c r="D54" s="263"/>
      <c r="E54" s="80"/>
      <c r="F54" s="81" t="s">
        <v>165</v>
      </c>
      <c r="G54" s="81">
        <v>2</v>
      </c>
      <c r="H54" s="87">
        <f>2</f>
        <v>2</v>
      </c>
      <c r="I54" s="88">
        <f t="shared" si="0"/>
        <v>0</v>
      </c>
      <c r="J54" s="81">
        <v>60</v>
      </c>
      <c r="K54" s="90">
        <f t="shared" si="1"/>
        <v>75.599999999999994</v>
      </c>
      <c r="L54" s="89">
        <f t="shared" si="2"/>
        <v>151.19999999999999</v>
      </c>
    </row>
    <row r="55" spans="1:12">
      <c r="A55" s="78" t="s">
        <v>257</v>
      </c>
      <c r="B55" s="80" t="s">
        <v>258</v>
      </c>
      <c r="C55" s="263" t="s">
        <v>259</v>
      </c>
      <c r="D55" s="263"/>
      <c r="E55" s="80"/>
      <c r="F55" s="81" t="s">
        <v>165</v>
      </c>
      <c r="G55" s="81">
        <v>6</v>
      </c>
      <c r="H55" s="87">
        <f>6</f>
        <v>6</v>
      </c>
      <c r="I55" s="88">
        <f t="shared" si="0"/>
        <v>0</v>
      </c>
      <c r="J55" s="81">
        <v>29.8</v>
      </c>
      <c r="K55" s="90">
        <f t="shared" si="1"/>
        <v>37.548000000000002</v>
      </c>
      <c r="L55" s="89">
        <f t="shared" si="2"/>
        <v>225.28800000000001</v>
      </c>
    </row>
    <row r="56" spans="1:12">
      <c r="A56" s="78" t="s">
        <v>260</v>
      </c>
      <c r="B56" s="80" t="s">
        <v>261</v>
      </c>
      <c r="C56" s="263" t="s">
        <v>262</v>
      </c>
      <c r="D56" s="263"/>
      <c r="E56" s="80"/>
      <c r="F56" s="81" t="s">
        <v>165</v>
      </c>
      <c r="G56" s="81">
        <v>1</v>
      </c>
      <c r="H56" s="87">
        <f>1</f>
        <v>1</v>
      </c>
      <c r="I56" s="88">
        <f t="shared" si="0"/>
        <v>0</v>
      </c>
      <c r="J56" s="81">
        <v>29.8</v>
      </c>
      <c r="K56" s="90">
        <f t="shared" si="1"/>
        <v>37.548000000000002</v>
      </c>
      <c r="L56" s="89">
        <f t="shared" si="2"/>
        <v>37.548000000000002</v>
      </c>
    </row>
    <row r="57" spans="1:12">
      <c r="A57" s="78" t="s">
        <v>263</v>
      </c>
      <c r="B57" s="80" t="s">
        <v>264</v>
      </c>
      <c r="C57" s="263" t="s">
        <v>265</v>
      </c>
      <c r="D57" s="263"/>
      <c r="E57" s="80"/>
      <c r="F57" s="81" t="s">
        <v>165</v>
      </c>
      <c r="G57" s="81">
        <v>2</v>
      </c>
      <c r="H57" s="87">
        <f>2</f>
        <v>2</v>
      </c>
      <c r="I57" s="88">
        <f t="shared" si="0"/>
        <v>0</v>
      </c>
      <c r="J57" s="81">
        <v>15</v>
      </c>
      <c r="K57" s="90">
        <f t="shared" si="1"/>
        <v>18.899999999999999</v>
      </c>
      <c r="L57" s="89">
        <f t="shared" si="2"/>
        <v>37.799999999999997</v>
      </c>
    </row>
    <row r="58" spans="1:12">
      <c r="A58" s="78" t="s">
        <v>266</v>
      </c>
      <c r="B58" s="80" t="s">
        <v>267</v>
      </c>
      <c r="C58" s="263" t="s">
        <v>268</v>
      </c>
      <c r="D58" s="263"/>
      <c r="E58" s="80"/>
      <c r="F58" s="81" t="s">
        <v>165</v>
      </c>
      <c r="G58" s="81">
        <v>6</v>
      </c>
      <c r="H58" s="87">
        <f>6</f>
        <v>6</v>
      </c>
      <c r="I58" s="88">
        <f t="shared" si="0"/>
        <v>0</v>
      </c>
      <c r="J58" s="81">
        <v>56.69</v>
      </c>
      <c r="K58" s="90">
        <f t="shared" si="1"/>
        <v>71.429400000000001</v>
      </c>
      <c r="L58" s="89">
        <f t="shared" si="2"/>
        <v>428.57640000000004</v>
      </c>
    </row>
    <row r="59" spans="1:12">
      <c r="A59" s="78" t="s">
        <v>269</v>
      </c>
      <c r="B59" s="80" t="s">
        <v>270</v>
      </c>
      <c r="C59" s="263" t="s">
        <v>271</v>
      </c>
      <c r="D59" s="263"/>
      <c r="E59" s="80"/>
      <c r="F59" s="81" t="s">
        <v>165</v>
      </c>
      <c r="G59" s="81">
        <v>10</v>
      </c>
      <c r="H59" s="87">
        <f>10</f>
        <v>10</v>
      </c>
      <c r="I59" s="88">
        <f t="shared" si="0"/>
        <v>0</v>
      </c>
      <c r="J59" s="81">
        <v>6</v>
      </c>
      <c r="K59" s="90">
        <f t="shared" si="1"/>
        <v>7.5600000000000005</v>
      </c>
      <c r="L59" s="89">
        <f t="shared" si="2"/>
        <v>75.600000000000009</v>
      </c>
    </row>
    <row r="60" spans="1:12">
      <c r="A60" s="78" t="s">
        <v>272</v>
      </c>
      <c r="B60" s="80" t="s">
        <v>273</v>
      </c>
      <c r="C60" s="263" t="s">
        <v>274</v>
      </c>
      <c r="D60" s="263"/>
      <c r="E60" s="80"/>
      <c r="F60" s="81" t="s">
        <v>165</v>
      </c>
      <c r="G60" s="81">
        <v>8</v>
      </c>
      <c r="H60" s="87">
        <f>8</f>
        <v>8</v>
      </c>
      <c r="I60" s="88">
        <f t="shared" si="0"/>
        <v>0</v>
      </c>
      <c r="J60" s="81">
        <v>6.1</v>
      </c>
      <c r="K60" s="90">
        <f t="shared" si="1"/>
        <v>7.6859999999999999</v>
      </c>
      <c r="L60" s="89">
        <f t="shared" si="2"/>
        <v>61.488</v>
      </c>
    </row>
    <row r="61" spans="1:12">
      <c r="A61" s="78" t="s">
        <v>275</v>
      </c>
      <c r="B61" s="80" t="s">
        <v>276</v>
      </c>
      <c r="C61" s="263" t="s">
        <v>277</v>
      </c>
      <c r="D61" s="263"/>
      <c r="E61" s="80"/>
      <c r="F61" s="81" t="s">
        <v>165</v>
      </c>
      <c r="G61" s="81">
        <v>26</v>
      </c>
      <c r="H61" s="87">
        <f>26</f>
        <v>26</v>
      </c>
      <c r="I61" s="88">
        <f t="shared" si="0"/>
        <v>0</v>
      </c>
      <c r="J61" s="81">
        <v>11.45</v>
      </c>
      <c r="K61" s="90">
        <f t="shared" si="1"/>
        <v>14.427</v>
      </c>
      <c r="L61" s="89">
        <f t="shared" si="2"/>
        <v>375.10199999999998</v>
      </c>
    </row>
    <row r="62" spans="1:12">
      <c r="A62" s="78" t="s">
        <v>278</v>
      </c>
      <c r="B62" s="80" t="s">
        <v>139</v>
      </c>
      <c r="C62" s="263" t="s">
        <v>279</v>
      </c>
      <c r="D62" s="263"/>
      <c r="E62" s="80"/>
      <c r="F62" s="81" t="s">
        <v>165</v>
      </c>
      <c r="G62" s="81">
        <v>6</v>
      </c>
      <c r="H62" s="87">
        <f>6</f>
        <v>6</v>
      </c>
      <c r="I62" s="88">
        <f t="shared" si="0"/>
        <v>0</v>
      </c>
      <c r="J62" s="81">
        <v>40.9</v>
      </c>
      <c r="K62" s="90">
        <f t="shared" si="1"/>
        <v>51.533999999999999</v>
      </c>
      <c r="L62" s="89">
        <f t="shared" si="2"/>
        <v>309.20400000000001</v>
      </c>
    </row>
    <row r="63" spans="1:12" ht="30.75" customHeight="1">
      <c r="A63" s="78" t="s">
        <v>280</v>
      </c>
      <c r="B63" s="80" t="s">
        <v>281</v>
      </c>
      <c r="C63" s="268" t="s">
        <v>282</v>
      </c>
      <c r="D63" s="268"/>
      <c r="E63" s="80"/>
      <c r="F63" s="81" t="s">
        <v>165</v>
      </c>
      <c r="G63" s="81">
        <v>26</v>
      </c>
      <c r="H63" s="87"/>
      <c r="I63" s="88">
        <f t="shared" si="0"/>
        <v>26</v>
      </c>
      <c r="J63" s="81">
        <v>1389.11</v>
      </c>
      <c r="K63" s="90">
        <f t="shared" si="1"/>
        <v>1750.2785999999999</v>
      </c>
      <c r="L63" s="89">
        <f t="shared" si="2"/>
        <v>45507.243599999994</v>
      </c>
    </row>
    <row r="64" spans="1:12">
      <c r="A64" s="80"/>
      <c r="B64" s="80"/>
      <c r="C64" s="263"/>
      <c r="D64" s="263"/>
      <c r="E64" s="80"/>
      <c r="F64" s="81"/>
      <c r="G64" s="81"/>
      <c r="H64" s="87"/>
      <c r="I64" s="88">
        <f t="shared" si="0"/>
        <v>0</v>
      </c>
      <c r="J64" s="81"/>
      <c r="K64" s="90"/>
      <c r="L64" s="89"/>
    </row>
    <row r="65" spans="1:12">
      <c r="A65" s="81">
        <v>6</v>
      </c>
      <c r="B65" s="80"/>
      <c r="C65" s="263" t="s">
        <v>283</v>
      </c>
      <c r="D65" s="263"/>
      <c r="E65" s="80"/>
      <c r="F65" s="81"/>
      <c r="G65" s="81"/>
      <c r="H65" s="87"/>
      <c r="I65" s="88">
        <f t="shared" si="0"/>
        <v>0</v>
      </c>
      <c r="J65" s="81"/>
      <c r="K65" s="90"/>
      <c r="L65" s="89"/>
    </row>
    <row r="66" spans="1:12">
      <c r="A66" s="78" t="s">
        <v>284</v>
      </c>
      <c r="B66" s="80"/>
      <c r="C66" s="263" t="s">
        <v>285</v>
      </c>
      <c r="D66" s="263"/>
      <c r="E66" s="80"/>
      <c r="F66" s="81"/>
      <c r="G66" s="81"/>
      <c r="H66" s="87"/>
      <c r="I66" s="88">
        <f t="shared" si="0"/>
        <v>0</v>
      </c>
      <c r="J66" s="81"/>
      <c r="K66" s="90"/>
      <c r="L66" s="89"/>
    </row>
    <row r="67" spans="1:12" ht="30" customHeight="1">
      <c r="A67" s="78" t="s">
        <v>286</v>
      </c>
      <c r="B67" s="80" t="s">
        <v>86</v>
      </c>
      <c r="C67" s="268" t="s">
        <v>287</v>
      </c>
      <c r="D67" s="268"/>
      <c r="E67" s="80"/>
      <c r="F67" s="81" t="s">
        <v>161</v>
      </c>
      <c r="G67" s="91">
        <v>1099.76</v>
      </c>
      <c r="H67" s="92">
        <f>934.8+164.96</f>
        <v>1099.76</v>
      </c>
      <c r="I67" s="88">
        <f t="shared" si="0"/>
        <v>0</v>
      </c>
      <c r="J67" s="81">
        <v>37.25</v>
      </c>
      <c r="K67" s="90">
        <f t="shared" si="1"/>
        <v>46.935000000000002</v>
      </c>
      <c r="L67" s="89">
        <f t="shared" si="2"/>
        <v>51617.2356</v>
      </c>
    </row>
    <row r="68" spans="1:12" ht="30.75" customHeight="1">
      <c r="A68" s="78" t="s">
        <v>288</v>
      </c>
      <c r="B68" s="80" t="s">
        <v>289</v>
      </c>
      <c r="C68" s="268" t="s">
        <v>290</v>
      </c>
      <c r="D68" s="268"/>
      <c r="E68" s="80"/>
      <c r="F68" s="81" t="s">
        <v>161</v>
      </c>
      <c r="G68" s="81">
        <v>999.18</v>
      </c>
      <c r="H68" s="87">
        <f>505.27</f>
        <v>505.27</v>
      </c>
      <c r="I68" s="88">
        <f t="shared" si="0"/>
        <v>493.90999999999997</v>
      </c>
      <c r="J68" s="81">
        <v>58.15</v>
      </c>
      <c r="K68" s="90">
        <f t="shared" si="1"/>
        <v>73.269000000000005</v>
      </c>
      <c r="L68" s="89">
        <f t="shared" si="2"/>
        <v>73208.919420000006</v>
      </c>
    </row>
    <row r="69" spans="1:12">
      <c r="A69" s="80"/>
      <c r="B69" s="80"/>
      <c r="C69" s="266"/>
      <c r="D69" s="266"/>
      <c r="E69" s="80"/>
      <c r="F69" s="81"/>
      <c r="G69" s="81"/>
      <c r="H69" s="87">
        <f>H68-494.22</f>
        <v>11.049999999999955</v>
      </c>
      <c r="I69" s="88">
        <f t="shared" si="0"/>
        <v>-11.049999999999955</v>
      </c>
      <c r="J69" s="81"/>
      <c r="K69" s="90"/>
      <c r="L69" s="89"/>
    </row>
    <row r="70" spans="1:12">
      <c r="A70" s="81">
        <v>7</v>
      </c>
      <c r="B70" s="80"/>
      <c r="C70" s="263" t="s">
        <v>91</v>
      </c>
      <c r="D70" s="263"/>
      <c r="E70" s="80"/>
      <c r="F70" s="81"/>
      <c r="G70" s="81"/>
      <c r="H70" s="87"/>
      <c r="I70" s="88">
        <f t="shared" si="0"/>
        <v>0</v>
      </c>
      <c r="J70" s="81"/>
      <c r="K70" s="90"/>
      <c r="L70" s="89"/>
    </row>
    <row r="71" spans="1:12">
      <c r="A71" s="78" t="s">
        <v>291</v>
      </c>
      <c r="B71" s="80"/>
      <c r="C71" s="263" t="s">
        <v>292</v>
      </c>
      <c r="D71" s="263"/>
      <c r="E71" s="80"/>
      <c r="F71" s="81"/>
      <c r="G71" s="81"/>
      <c r="H71" s="87"/>
      <c r="I71" s="88">
        <f t="shared" si="0"/>
        <v>0</v>
      </c>
      <c r="J71" s="81"/>
      <c r="K71" s="90"/>
      <c r="L71" s="89"/>
    </row>
    <row r="72" spans="1:12">
      <c r="A72" s="78" t="s">
        <v>293</v>
      </c>
      <c r="B72" s="80" t="s">
        <v>294</v>
      </c>
      <c r="C72" s="263" t="s">
        <v>295</v>
      </c>
      <c r="D72" s="263"/>
      <c r="E72" s="80"/>
      <c r="F72" s="81" t="s">
        <v>161</v>
      </c>
      <c r="G72" s="81">
        <v>196.37</v>
      </c>
      <c r="H72" s="87">
        <f>196.37</f>
        <v>196.37</v>
      </c>
      <c r="I72" s="88">
        <f t="shared" si="0"/>
        <v>0</v>
      </c>
      <c r="J72" s="81">
        <v>30.32</v>
      </c>
      <c r="K72" s="90">
        <f t="shared" si="1"/>
        <v>38.203200000000002</v>
      </c>
      <c r="L72" s="89">
        <f t="shared" si="2"/>
        <v>7501.9623840000004</v>
      </c>
    </row>
    <row r="73" spans="1:12" ht="30.75" customHeight="1">
      <c r="A73" s="78" t="s">
        <v>296</v>
      </c>
      <c r="B73" s="80" t="s">
        <v>297</v>
      </c>
      <c r="C73" s="268" t="s">
        <v>298</v>
      </c>
      <c r="D73" s="268"/>
      <c r="E73" s="80"/>
      <c r="F73" s="81" t="s">
        <v>299</v>
      </c>
      <c r="G73" s="81">
        <v>14.55</v>
      </c>
      <c r="H73" s="87">
        <f>14.55</f>
        <v>14.55</v>
      </c>
      <c r="I73" s="88">
        <f t="shared" si="0"/>
        <v>0</v>
      </c>
      <c r="J73" s="81">
        <v>1130</v>
      </c>
      <c r="K73" s="90">
        <f t="shared" si="1"/>
        <v>1423.8</v>
      </c>
      <c r="L73" s="89">
        <f t="shared" si="2"/>
        <v>20716.29</v>
      </c>
    </row>
    <row r="74" spans="1:12">
      <c r="A74" s="78" t="s">
        <v>300</v>
      </c>
      <c r="B74" s="80" t="s">
        <v>301</v>
      </c>
      <c r="C74" s="263" t="s">
        <v>302</v>
      </c>
      <c r="D74" s="263"/>
      <c r="E74" s="80"/>
      <c r="F74" s="81" t="s">
        <v>299</v>
      </c>
      <c r="G74" s="81">
        <v>766.52</v>
      </c>
      <c r="H74" s="87">
        <f>766.52</f>
        <v>766.52</v>
      </c>
      <c r="I74" s="88">
        <f t="shared" si="0"/>
        <v>0</v>
      </c>
      <c r="J74" s="81">
        <v>25</v>
      </c>
      <c r="K74" s="90">
        <f t="shared" si="1"/>
        <v>31.5</v>
      </c>
      <c r="L74" s="89">
        <f t="shared" si="2"/>
        <v>24145.38</v>
      </c>
    </row>
    <row r="75" spans="1:12">
      <c r="A75" s="78" t="s">
        <v>303</v>
      </c>
      <c r="B75" s="80" t="s">
        <v>304</v>
      </c>
      <c r="C75" s="263" t="s">
        <v>305</v>
      </c>
      <c r="D75" s="263"/>
      <c r="E75" s="80"/>
      <c r="F75" s="81" t="s">
        <v>161</v>
      </c>
      <c r="G75" s="81">
        <v>232.74</v>
      </c>
      <c r="H75" s="87">
        <v>232.74</v>
      </c>
      <c r="I75" s="88">
        <f t="shared" ref="I75:I81" si="3">G75-H75</f>
        <v>0</v>
      </c>
      <c r="J75" s="81">
        <v>3.59</v>
      </c>
      <c r="K75" s="90">
        <f t="shared" ref="K75:K81" si="4">(J75*0.26)+J75</f>
        <v>4.5233999999999996</v>
      </c>
      <c r="L75" s="89">
        <f t="shared" ref="L75:L81" si="5">G75*K75</f>
        <v>1052.776116</v>
      </c>
    </row>
    <row r="76" spans="1:12" ht="30.75" customHeight="1">
      <c r="A76" s="78" t="s">
        <v>306</v>
      </c>
      <c r="B76" s="80" t="s">
        <v>307</v>
      </c>
      <c r="C76" s="268" t="s">
        <v>308</v>
      </c>
      <c r="D76" s="268"/>
      <c r="E76" s="80"/>
      <c r="F76" s="81" t="s">
        <v>161</v>
      </c>
      <c r="G76" s="81">
        <v>232.74</v>
      </c>
      <c r="H76" s="87">
        <v>232.74</v>
      </c>
      <c r="I76" s="88">
        <f t="shared" si="3"/>
        <v>0</v>
      </c>
      <c r="J76" s="81">
        <v>21.12</v>
      </c>
      <c r="K76" s="90">
        <f t="shared" si="4"/>
        <v>26.6112</v>
      </c>
      <c r="L76" s="89">
        <f t="shared" si="5"/>
        <v>6193.4906879999999</v>
      </c>
    </row>
    <row r="77" spans="1:12">
      <c r="A77" s="78" t="s">
        <v>309</v>
      </c>
      <c r="B77" s="80" t="s">
        <v>92</v>
      </c>
      <c r="C77" s="265" t="s">
        <v>93</v>
      </c>
      <c r="D77" s="265"/>
      <c r="E77" s="80"/>
      <c r="F77" s="81" t="s">
        <v>161</v>
      </c>
      <c r="G77" s="81">
        <v>232.74</v>
      </c>
      <c r="H77" s="87">
        <f>232.74</f>
        <v>232.74</v>
      </c>
      <c r="I77" s="88">
        <f t="shared" si="3"/>
        <v>0</v>
      </c>
      <c r="J77" s="81">
        <v>3.3</v>
      </c>
      <c r="K77" s="90">
        <f t="shared" si="4"/>
        <v>4.1579999999999995</v>
      </c>
      <c r="L77" s="89">
        <f t="shared" si="5"/>
        <v>967.73291999999992</v>
      </c>
    </row>
    <row r="78" spans="1:12" ht="33" customHeight="1">
      <c r="A78" s="78" t="s">
        <v>310</v>
      </c>
      <c r="B78" s="80" t="s">
        <v>94</v>
      </c>
      <c r="C78" s="268" t="s">
        <v>311</v>
      </c>
      <c r="D78" s="268"/>
      <c r="E78" s="80"/>
      <c r="F78" s="81" t="s">
        <v>161</v>
      </c>
      <c r="G78" s="81">
        <v>232.74</v>
      </c>
      <c r="H78" s="87">
        <f>232.74</f>
        <v>232.74</v>
      </c>
      <c r="I78" s="88">
        <f t="shared" si="3"/>
        <v>0</v>
      </c>
      <c r="J78" s="81">
        <v>9.35</v>
      </c>
      <c r="K78" s="90">
        <f t="shared" si="4"/>
        <v>11.780999999999999</v>
      </c>
      <c r="L78" s="89">
        <f t="shared" si="5"/>
        <v>2741.90994</v>
      </c>
    </row>
    <row r="79" spans="1:12" ht="30.75" customHeight="1">
      <c r="A79" s="78" t="s">
        <v>312</v>
      </c>
      <c r="B79" s="80" t="s">
        <v>313</v>
      </c>
      <c r="C79" s="268" t="s">
        <v>314</v>
      </c>
      <c r="D79" s="268"/>
      <c r="E79" s="80"/>
      <c r="F79" s="81" t="s">
        <v>161</v>
      </c>
      <c r="G79" s="81">
        <v>564.37</v>
      </c>
      <c r="H79" s="87">
        <f>564.37</f>
        <v>564.37</v>
      </c>
      <c r="I79" s="88">
        <f t="shared" si="3"/>
        <v>0</v>
      </c>
      <c r="J79" s="81">
        <v>29.75</v>
      </c>
      <c r="K79" s="90">
        <f t="shared" si="4"/>
        <v>37.484999999999999</v>
      </c>
      <c r="L79" s="89">
        <f t="shared" si="5"/>
        <v>21155.409449999999</v>
      </c>
    </row>
    <row r="80" spans="1:12" ht="30" customHeight="1">
      <c r="A80" s="78" t="s">
        <v>315</v>
      </c>
      <c r="B80" s="80" t="s">
        <v>316</v>
      </c>
      <c r="C80" s="268" t="s">
        <v>317</v>
      </c>
      <c r="D80" s="268"/>
      <c r="E80" s="80"/>
      <c r="F80" s="81" t="s">
        <v>299</v>
      </c>
      <c r="G80" s="81">
        <v>6.2</v>
      </c>
      <c r="H80" s="87">
        <f>6.2</f>
        <v>6.2</v>
      </c>
      <c r="I80" s="88">
        <f t="shared" si="3"/>
        <v>0</v>
      </c>
      <c r="J80" s="81">
        <v>1771.35</v>
      </c>
      <c r="K80" s="90">
        <f t="shared" si="4"/>
        <v>2231.9009999999998</v>
      </c>
      <c r="L80" s="89">
        <f t="shared" si="5"/>
        <v>13837.786199999999</v>
      </c>
    </row>
    <row r="81" spans="1:12" ht="30" customHeight="1">
      <c r="A81" s="78" t="s">
        <v>318</v>
      </c>
      <c r="B81" s="80" t="s">
        <v>319</v>
      </c>
      <c r="C81" s="268" t="s">
        <v>320</v>
      </c>
      <c r="D81" s="268"/>
      <c r="E81" s="80"/>
      <c r="F81" s="81" t="s">
        <v>23</v>
      </c>
      <c r="G81" s="81">
        <v>139.66</v>
      </c>
      <c r="H81" s="87">
        <v>139.66</v>
      </c>
      <c r="I81" s="88">
        <f t="shared" si="3"/>
        <v>0</v>
      </c>
      <c r="J81" s="81">
        <v>273.14999999999998</v>
      </c>
      <c r="K81" s="90">
        <f t="shared" si="4"/>
        <v>344.16899999999998</v>
      </c>
      <c r="L81" s="89">
        <f t="shared" si="5"/>
        <v>48066.642539999993</v>
      </c>
    </row>
    <row r="82" spans="1:12">
      <c r="A82" s="80"/>
      <c r="B82" s="80"/>
      <c r="C82" s="266"/>
      <c r="D82" s="266"/>
      <c r="E82" s="80"/>
      <c r="F82" s="80"/>
      <c r="G82" s="81"/>
      <c r="H82" s="87"/>
      <c r="I82" s="88"/>
      <c r="J82" s="81"/>
      <c r="K82" s="81"/>
      <c r="L82" s="89"/>
    </row>
    <row r="83" spans="1:12" ht="15">
      <c r="A83" s="269" t="s">
        <v>38</v>
      </c>
      <c r="B83" s="269"/>
      <c r="C83" s="269"/>
      <c r="D83" s="269"/>
      <c r="E83" s="269"/>
      <c r="F83" s="269"/>
      <c r="G83" s="269"/>
      <c r="H83" s="269"/>
      <c r="I83" s="269"/>
      <c r="J83" s="269"/>
      <c r="K83" s="269"/>
      <c r="L83" s="93">
        <v>415578.43</v>
      </c>
    </row>
    <row r="85" spans="1:12">
      <c r="L85">
        <v>308847.21999999997</v>
      </c>
    </row>
    <row r="86" spans="1:12">
      <c r="L86" s="102">
        <f>L85/L83</f>
        <v>0.74317432692548546</v>
      </c>
    </row>
  </sheetData>
  <mergeCells count="86">
    <mergeCell ref="C75:D75"/>
    <mergeCell ref="C82:D82"/>
    <mergeCell ref="A83:K83"/>
    <mergeCell ref="C76:D76"/>
    <mergeCell ref="C77:D77"/>
    <mergeCell ref="C78:D78"/>
    <mergeCell ref="C79:D79"/>
    <mergeCell ref="C80:D80"/>
    <mergeCell ref="C81:D81"/>
    <mergeCell ref="C71:D71"/>
    <mergeCell ref="C72:D72"/>
    <mergeCell ref="C73:D73"/>
    <mergeCell ref="C74:D74"/>
    <mergeCell ref="C67:D67"/>
    <mergeCell ref="C68:D68"/>
    <mergeCell ref="C69:D69"/>
    <mergeCell ref="C70:D70"/>
    <mergeCell ref="C63:D63"/>
    <mergeCell ref="C64:D64"/>
    <mergeCell ref="C65:D65"/>
    <mergeCell ref="C66:D66"/>
    <mergeCell ref="C59:D59"/>
    <mergeCell ref="C60:D60"/>
    <mergeCell ref="C61:D61"/>
    <mergeCell ref="C62:D62"/>
    <mergeCell ref="C55:D55"/>
    <mergeCell ref="C56:D56"/>
    <mergeCell ref="C57:D57"/>
    <mergeCell ref="C58:D58"/>
    <mergeCell ref="C51:D51"/>
    <mergeCell ref="C52:D52"/>
    <mergeCell ref="C53:D53"/>
    <mergeCell ref="C54:D54"/>
    <mergeCell ref="C47:D47"/>
    <mergeCell ref="C48:D48"/>
    <mergeCell ref="C49:D49"/>
    <mergeCell ref="C50:D50"/>
    <mergeCell ref="C43:D43"/>
    <mergeCell ref="C44:D44"/>
    <mergeCell ref="C45:D45"/>
    <mergeCell ref="C46:D46"/>
    <mergeCell ref="C39:D39"/>
    <mergeCell ref="C40:D40"/>
    <mergeCell ref="C41:D41"/>
    <mergeCell ref="C42:D42"/>
    <mergeCell ref="C35:D35"/>
    <mergeCell ref="C36:D36"/>
    <mergeCell ref="C37:D37"/>
    <mergeCell ref="C38:D38"/>
    <mergeCell ref="C31:D31"/>
    <mergeCell ref="C32:D32"/>
    <mergeCell ref="C33:D33"/>
    <mergeCell ref="C34:D34"/>
    <mergeCell ref="C27:D27"/>
    <mergeCell ref="C28:D28"/>
    <mergeCell ref="C29:D29"/>
    <mergeCell ref="C30:D30"/>
    <mergeCell ref="C23:D23"/>
    <mergeCell ref="C24:D24"/>
    <mergeCell ref="C25:D25"/>
    <mergeCell ref="C26:D26"/>
    <mergeCell ref="C19:D19"/>
    <mergeCell ref="C20:D20"/>
    <mergeCell ref="C21:D21"/>
    <mergeCell ref="C22:D22"/>
    <mergeCell ref="C15:D15"/>
    <mergeCell ref="C16:D16"/>
    <mergeCell ref="C17:D17"/>
    <mergeCell ref="C18:D18"/>
    <mergeCell ref="C11:E11"/>
    <mergeCell ref="C12:E12"/>
    <mergeCell ref="C13:E13"/>
    <mergeCell ref="C14:D14"/>
    <mergeCell ref="C7:E7"/>
    <mergeCell ref="C8:E8"/>
    <mergeCell ref="C9:E9"/>
    <mergeCell ref="C10:E10"/>
    <mergeCell ref="D4:L4"/>
    <mergeCell ref="D5:J6"/>
    <mergeCell ref="K5:L5"/>
    <mergeCell ref="K6:L6"/>
    <mergeCell ref="A1:L1"/>
    <mergeCell ref="A2:F2"/>
    <mergeCell ref="G2:L2"/>
    <mergeCell ref="A3:F3"/>
    <mergeCell ref="G3:L3"/>
  </mergeCells>
  <phoneticPr fontId="15" type="noConversion"/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5">
    <tabColor rgb="FF002060"/>
  </sheetPr>
  <dimension ref="A1:L141"/>
  <sheetViews>
    <sheetView showGridLines="0" showZeros="0" view="pageBreakPreview" zoomScaleSheetLayoutView="100" workbookViewId="0">
      <selection activeCell="E6" sqref="E6:H6"/>
    </sheetView>
  </sheetViews>
  <sheetFormatPr defaultRowHeight="12.75"/>
  <cols>
    <col min="1" max="1" width="5.42578125" bestFit="1" customWidth="1"/>
    <col min="2" max="2" width="10.7109375" bestFit="1" customWidth="1"/>
    <col min="3" max="3" width="48" customWidth="1"/>
    <col min="5" max="8" width="12.28515625" customWidth="1"/>
    <col min="9" max="9" width="0" hidden="1" customWidth="1"/>
    <col min="10" max="10" width="13.140625" hidden="1" customWidth="1"/>
    <col min="11" max="11" width="11.7109375" bestFit="1" customWidth="1"/>
    <col min="12" max="12" width="11.85546875" customWidth="1"/>
  </cols>
  <sheetData>
    <row r="1" spans="1:12" ht="69.75" customHeight="1">
      <c r="A1" s="270"/>
      <c r="B1" s="271"/>
      <c r="C1" s="272"/>
      <c r="D1" s="272"/>
      <c r="E1" s="272"/>
      <c r="F1" s="272"/>
      <c r="G1" s="272"/>
      <c r="H1" s="273"/>
    </row>
    <row r="2" spans="1:12" ht="3.75" customHeight="1" thickBot="1">
      <c r="A2" s="274"/>
      <c r="B2" s="245"/>
      <c r="C2" s="245"/>
      <c r="D2" s="245"/>
      <c r="E2" s="245"/>
      <c r="F2" s="245"/>
      <c r="G2" s="245"/>
      <c r="H2" s="275"/>
    </row>
    <row r="3" spans="1:12" ht="17.25" customHeight="1" thickBot="1">
      <c r="A3" s="238" t="s">
        <v>4</v>
      </c>
      <c r="B3" s="239"/>
      <c r="C3" s="239"/>
      <c r="D3" s="239"/>
      <c r="E3" s="239"/>
      <c r="F3" s="239"/>
      <c r="G3" s="239"/>
      <c r="H3" s="240"/>
    </row>
    <row r="4" spans="1:12" ht="3.75" customHeight="1" thickBot="1">
      <c r="A4" s="204"/>
      <c r="B4" s="11"/>
      <c r="C4" s="11"/>
      <c r="D4" s="11"/>
      <c r="E4" s="11"/>
      <c r="F4" s="11"/>
      <c r="G4" s="11"/>
      <c r="H4" s="205"/>
    </row>
    <row r="5" spans="1:12" ht="13.5" customHeight="1">
      <c r="A5" s="278" t="s">
        <v>324</v>
      </c>
      <c r="B5" s="279"/>
      <c r="C5" s="279"/>
      <c r="D5" s="279"/>
      <c r="E5" s="279"/>
      <c r="F5" s="279"/>
      <c r="G5" s="279"/>
      <c r="H5" s="280"/>
    </row>
    <row r="6" spans="1:12" ht="15" customHeight="1">
      <c r="A6" s="132" t="s">
        <v>326</v>
      </c>
      <c r="B6" s="133"/>
      <c r="C6" s="133"/>
      <c r="D6" s="133"/>
      <c r="E6" s="227" t="s">
        <v>478</v>
      </c>
      <c r="F6" s="281"/>
      <c r="G6" s="281"/>
      <c r="H6" s="282"/>
    </row>
    <row r="7" spans="1:12" ht="14.25" customHeight="1">
      <c r="A7" s="252" t="s">
        <v>327</v>
      </c>
      <c r="B7" s="253"/>
      <c r="C7" s="253"/>
      <c r="D7" s="254"/>
      <c r="E7" s="235" t="s">
        <v>12</v>
      </c>
      <c r="F7" s="236"/>
      <c r="G7" s="236"/>
      <c r="H7" s="237"/>
    </row>
    <row r="8" spans="1:12" ht="27" customHeight="1">
      <c r="A8" s="252" t="s">
        <v>354</v>
      </c>
      <c r="B8" s="253"/>
      <c r="C8" s="253"/>
      <c r="D8" s="254"/>
      <c r="E8" s="224" t="s">
        <v>8</v>
      </c>
      <c r="F8" s="222" t="s">
        <v>6</v>
      </c>
      <c r="G8" s="10" t="s">
        <v>26</v>
      </c>
      <c r="H8" s="7" t="s">
        <v>7</v>
      </c>
    </row>
    <row r="9" spans="1:12" ht="17.25" customHeight="1" thickBot="1">
      <c r="A9" s="255" t="s">
        <v>474</v>
      </c>
      <c r="B9" s="256"/>
      <c r="C9" s="256"/>
      <c r="D9" s="257"/>
      <c r="E9" s="225"/>
      <c r="F9" s="223"/>
      <c r="G9" s="12" t="s">
        <v>9</v>
      </c>
      <c r="H9" s="43">
        <v>0.23380000000000001</v>
      </c>
    </row>
    <row r="10" spans="1:12" ht="3.75" customHeight="1" thickBot="1">
      <c r="A10" s="283" t="s">
        <v>324</v>
      </c>
      <c r="B10" s="244"/>
      <c r="C10" s="244"/>
      <c r="D10" s="244"/>
      <c r="E10" s="244"/>
      <c r="F10" s="244"/>
      <c r="G10" s="244"/>
      <c r="H10" s="284"/>
    </row>
    <row r="11" spans="1:12" ht="39" thickBot="1">
      <c r="A11" s="2" t="s">
        <v>0</v>
      </c>
      <c r="B11" s="3" t="s">
        <v>5</v>
      </c>
      <c r="C11" s="3" t="s">
        <v>1</v>
      </c>
      <c r="D11" s="3" t="s">
        <v>3</v>
      </c>
      <c r="E11" s="3" t="s">
        <v>2</v>
      </c>
      <c r="F11" s="4" t="s">
        <v>13</v>
      </c>
      <c r="G11" s="4" t="s">
        <v>14</v>
      </c>
      <c r="H11" s="5" t="s">
        <v>10</v>
      </c>
    </row>
    <row r="12" spans="1:12" s="25" customFormat="1" ht="14.25" customHeight="1">
      <c r="A12" s="118">
        <v>1</v>
      </c>
      <c r="B12" s="119"/>
      <c r="C12" s="120" t="s">
        <v>340</v>
      </c>
      <c r="D12" s="121"/>
      <c r="E12" s="117"/>
      <c r="F12" s="117"/>
      <c r="G12" s="117"/>
      <c r="H12" s="135">
        <f>H13</f>
        <v>11779.135821000002</v>
      </c>
    </row>
    <row r="13" spans="1:12" ht="14.25" customHeight="1">
      <c r="A13" s="122" t="s">
        <v>16</v>
      </c>
      <c r="B13" s="32" t="s">
        <v>329</v>
      </c>
      <c r="C13" s="123" t="s">
        <v>330</v>
      </c>
      <c r="D13" s="126" t="s">
        <v>325</v>
      </c>
      <c r="E13" s="15">
        <v>1</v>
      </c>
      <c r="F13" s="15">
        <f>K19*0.01</f>
        <v>11779.135821000002</v>
      </c>
      <c r="G13" s="15">
        <f>F13</f>
        <v>11779.135821000002</v>
      </c>
      <c r="H13" s="16">
        <f>G13*E13</f>
        <v>11779.135821000002</v>
      </c>
      <c r="I13" s="24"/>
      <c r="L13" s="24"/>
    </row>
    <row r="14" spans="1:12" hidden="1">
      <c r="A14" s="122" t="e">
        <f>#REF!</f>
        <v>#REF!</v>
      </c>
      <c r="B14" s="32" t="e">
        <f>#REF!</f>
        <v>#REF!</v>
      </c>
      <c r="C14" s="123" t="e">
        <f>#REF!</f>
        <v>#REF!</v>
      </c>
      <c r="D14" s="126" t="e">
        <f>#REF!</f>
        <v>#REF!</v>
      </c>
      <c r="E14" s="15" t="e">
        <f>#REF!</f>
        <v>#REF!</v>
      </c>
      <c r="F14" s="15" t="e">
        <f>#REF!</f>
        <v>#REF!</v>
      </c>
      <c r="G14" s="15" t="e">
        <f>F14+(F14*$H$9)</f>
        <v>#REF!</v>
      </c>
      <c r="H14" s="16" t="e">
        <f>E14*G14</f>
        <v>#REF!</v>
      </c>
      <c r="I14" s="24"/>
      <c r="L14" s="24"/>
    </row>
    <row r="15" spans="1:12" hidden="1">
      <c r="A15" s="122" t="e">
        <f>#REF!</f>
        <v>#REF!</v>
      </c>
      <c r="B15" s="32" t="e">
        <f>#REF!</f>
        <v>#REF!</v>
      </c>
      <c r="C15" s="123" t="e">
        <f>#REF!</f>
        <v>#REF!</v>
      </c>
      <c r="D15" s="126" t="e">
        <f>#REF!</f>
        <v>#REF!</v>
      </c>
      <c r="E15" s="15" t="e">
        <f>#REF!</f>
        <v>#REF!</v>
      </c>
      <c r="F15" s="15" t="e">
        <f>#REF!</f>
        <v>#REF!</v>
      </c>
      <c r="G15" s="15" t="e">
        <f>F15+(F15*$H$9)</f>
        <v>#REF!</v>
      </c>
      <c r="H15" s="16" t="e">
        <f>E15*G15</f>
        <v>#REF!</v>
      </c>
      <c r="I15" s="24"/>
      <c r="L15" s="24"/>
    </row>
    <row r="16" spans="1:12" hidden="1">
      <c r="A16" s="122" t="e">
        <f>#REF!</f>
        <v>#REF!</v>
      </c>
      <c r="B16" s="32" t="e">
        <f>#REF!</f>
        <v>#REF!</v>
      </c>
      <c r="C16" s="123" t="e">
        <f>#REF!</f>
        <v>#REF!</v>
      </c>
      <c r="D16" s="126" t="e">
        <f>#REF!</f>
        <v>#REF!</v>
      </c>
      <c r="E16" s="15" t="e">
        <f>#REF!</f>
        <v>#REF!</v>
      </c>
      <c r="F16" s="15" t="e">
        <f>#REF!</f>
        <v>#REF!</v>
      </c>
      <c r="G16" s="15" t="e">
        <f>F16+(F16*$H$9)</f>
        <v>#REF!</v>
      </c>
      <c r="H16" s="16" t="e">
        <f>E16*G16</f>
        <v>#REF!</v>
      </c>
      <c r="I16" s="24"/>
      <c r="L16" s="24"/>
    </row>
    <row r="17" spans="1:12" hidden="1">
      <c r="A17" s="122" t="e">
        <f>#REF!</f>
        <v>#REF!</v>
      </c>
      <c r="B17" s="32" t="e">
        <f>#REF!</f>
        <v>#REF!</v>
      </c>
      <c r="C17" s="123" t="e">
        <f>#REF!</f>
        <v>#REF!</v>
      </c>
      <c r="D17" s="126" t="e">
        <f>#REF!</f>
        <v>#REF!</v>
      </c>
      <c r="E17" s="15" t="e">
        <f>#REF!</f>
        <v>#REF!</v>
      </c>
      <c r="F17" s="15" t="e">
        <f>#REF!</f>
        <v>#REF!</v>
      </c>
      <c r="G17" s="15" t="e">
        <f>F17+(F17*$H$9)</f>
        <v>#REF!</v>
      </c>
      <c r="H17" s="16" t="e">
        <f>E17*G17</f>
        <v>#REF!</v>
      </c>
      <c r="I17" s="24"/>
      <c r="L17" s="24"/>
    </row>
    <row r="18" spans="1:12">
      <c r="A18" s="122"/>
      <c r="B18" s="32"/>
      <c r="C18" s="123"/>
      <c r="D18" s="126"/>
      <c r="E18" s="15"/>
      <c r="F18" s="15"/>
      <c r="G18" s="15"/>
      <c r="H18" s="16"/>
      <c r="I18" s="24"/>
      <c r="L18" s="24"/>
    </row>
    <row r="19" spans="1:12" s="56" customFormat="1">
      <c r="A19" s="124">
        <v>2</v>
      </c>
      <c r="B19" s="35"/>
      <c r="C19" s="125" t="s">
        <v>419</v>
      </c>
      <c r="D19" s="127"/>
      <c r="E19" s="54"/>
      <c r="F19" s="54"/>
      <c r="G19" s="15">
        <f>F19*1.2614</f>
        <v>0</v>
      </c>
      <c r="H19" s="55">
        <f>SUM(H20:H26)</f>
        <v>14025.700300000002</v>
      </c>
      <c r="K19" s="198">
        <f>H19+H28+H37+H46+H55+H64+H73+H82+H91+H100+H109+H118</f>
        <v>1177913.5821000002</v>
      </c>
      <c r="L19" s="56">
        <v>1177554.3500000001</v>
      </c>
    </row>
    <row r="20" spans="1:12" s="129" customFormat="1" ht="56.25" customHeight="1">
      <c r="A20" s="122" t="s">
        <v>19</v>
      </c>
      <c r="B20" s="32" t="s">
        <v>328</v>
      </c>
      <c r="C20" s="123" t="s">
        <v>333</v>
      </c>
      <c r="D20" s="130" t="s">
        <v>161</v>
      </c>
      <c r="E20" s="136">
        <v>473.12</v>
      </c>
      <c r="F20" s="131">
        <v>1.1100000000000001</v>
      </c>
      <c r="G20" s="15">
        <v>1.37</v>
      </c>
      <c r="H20" s="16">
        <f t="shared" ref="H20:H26" si="0">E20*G20</f>
        <v>648.17440000000011</v>
      </c>
    </row>
    <row r="21" spans="1:12" s="129" customFormat="1" ht="24.75" customHeight="1">
      <c r="A21" s="122" t="s">
        <v>20</v>
      </c>
      <c r="B21" s="32" t="s">
        <v>331</v>
      </c>
      <c r="C21" s="137" t="s">
        <v>339</v>
      </c>
      <c r="D21" s="130" t="s">
        <v>332</v>
      </c>
      <c r="E21" s="15">
        <v>266.83999999999997</v>
      </c>
      <c r="F21" s="131">
        <v>0.47</v>
      </c>
      <c r="G21" s="15">
        <v>0.57999999999999996</v>
      </c>
      <c r="H21" s="16">
        <f t="shared" si="0"/>
        <v>154.76719999999997</v>
      </c>
    </row>
    <row r="22" spans="1:12" s="129" customFormat="1" ht="68.25" customHeight="1">
      <c r="A22" s="122" t="s">
        <v>21</v>
      </c>
      <c r="B22" s="32" t="s">
        <v>355</v>
      </c>
      <c r="C22" s="138" t="s">
        <v>356</v>
      </c>
      <c r="D22" s="126" t="s">
        <v>299</v>
      </c>
      <c r="E22" s="15">
        <v>14.19</v>
      </c>
      <c r="F22" s="15">
        <v>594.16</v>
      </c>
      <c r="G22" s="15">
        <v>733.07</v>
      </c>
      <c r="H22" s="16">
        <f t="shared" si="0"/>
        <v>10402.263300000001</v>
      </c>
      <c r="L22" s="134"/>
    </row>
    <row r="23" spans="1:12" s="129" customFormat="1" ht="14.25" customHeight="1">
      <c r="A23" s="122" t="s">
        <v>338</v>
      </c>
      <c r="B23" s="32" t="s">
        <v>344</v>
      </c>
      <c r="C23" s="138" t="s">
        <v>345</v>
      </c>
      <c r="D23" s="126" t="s">
        <v>341</v>
      </c>
      <c r="E23" s="15">
        <v>561.73</v>
      </c>
      <c r="F23" s="15">
        <v>0.71</v>
      </c>
      <c r="G23" s="15">
        <v>0.88</v>
      </c>
      <c r="H23" s="16">
        <f t="shared" si="0"/>
        <v>494.32240000000002</v>
      </c>
    </row>
    <row r="24" spans="1:12" s="129" customFormat="1" ht="14.25" customHeight="1">
      <c r="A24" s="122" t="s">
        <v>342</v>
      </c>
      <c r="B24" s="32" t="s">
        <v>346</v>
      </c>
      <c r="C24" s="138" t="s">
        <v>347</v>
      </c>
      <c r="D24" s="126" t="s">
        <v>341</v>
      </c>
      <c r="E24" s="15">
        <v>93.85</v>
      </c>
      <c r="F24" s="15">
        <v>1.18</v>
      </c>
      <c r="G24" s="15">
        <v>1.46</v>
      </c>
      <c r="H24" s="16">
        <f t="shared" si="0"/>
        <v>137.02099999999999</v>
      </c>
    </row>
    <row r="25" spans="1:12" s="129" customFormat="1" ht="23.25" customHeight="1">
      <c r="A25" s="122" t="s">
        <v>343</v>
      </c>
      <c r="B25" s="32" t="s">
        <v>331</v>
      </c>
      <c r="C25" s="138" t="s">
        <v>348</v>
      </c>
      <c r="D25" s="126" t="s">
        <v>332</v>
      </c>
      <c r="E25" s="15">
        <v>878.88</v>
      </c>
      <c r="F25" s="15">
        <v>0.47</v>
      </c>
      <c r="G25" s="15">
        <v>0.57999999999999996</v>
      </c>
      <c r="H25" s="16">
        <f t="shared" si="0"/>
        <v>509.75039999999996</v>
      </c>
    </row>
    <row r="26" spans="1:12" s="129" customFormat="1" ht="24.75" customHeight="1">
      <c r="A26" s="122" t="s">
        <v>350</v>
      </c>
      <c r="B26" s="32" t="s">
        <v>331</v>
      </c>
      <c r="C26" s="138" t="s">
        <v>337</v>
      </c>
      <c r="D26" s="126" t="s">
        <v>332</v>
      </c>
      <c r="E26" s="15">
        <v>2895.52</v>
      </c>
      <c r="F26" s="15">
        <v>0.47</v>
      </c>
      <c r="G26" s="15">
        <v>0.57999999999999996</v>
      </c>
      <c r="H26" s="16">
        <f t="shared" si="0"/>
        <v>1679.4015999999999</v>
      </c>
    </row>
    <row r="27" spans="1:12" s="129" customFormat="1" ht="12.75" customHeight="1">
      <c r="A27" s="122"/>
      <c r="B27" s="32"/>
      <c r="C27" s="138"/>
      <c r="D27" s="126"/>
      <c r="E27" s="15"/>
      <c r="F27" s="15"/>
      <c r="G27" s="15"/>
      <c r="H27" s="16"/>
    </row>
    <row r="28" spans="1:12" s="56" customFormat="1">
      <c r="A28" s="124">
        <v>3</v>
      </c>
      <c r="B28" s="35"/>
      <c r="C28" s="125" t="s">
        <v>420</v>
      </c>
      <c r="D28" s="127"/>
      <c r="E28" s="54"/>
      <c r="F28" s="54"/>
      <c r="G28" s="15">
        <f>F28*1.2614</f>
        <v>0</v>
      </c>
      <c r="H28" s="55">
        <f>SUM(H29:H35)</f>
        <v>75175.363200000007</v>
      </c>
    </row>
    <row r="29" spans="1:12" s="129" customFormat="1" ht="56.25" customHeight="1">
      <c r="A29" s="122" t="s">
        <v>22</v>
      </c>
      <c r="B29" s="32" t="s">
        <v>328</v>
      </c>
      <c r="C29" s="123" t="s">
        <v>333</v>
      </c>
      <c r="D29" s="130" t="s">
        <v>161</v>
      </c>
      <c r="E29" s="136">
        <v>2535.48</v>
      </c>
      <c r="F29" s="131">
        <v>1.1100000000000001</v>
      </c>
      <c r="G29" s="15">
        <v>1.37</v>
      </c>
      <c r="H29" s="16">
        <f t="shared" ref="H29:H35" si="1">E29*G29</f>
        <v>3473.6076000000003</v>
      </c>
    </row>
    <row r="30" spans="1:12" s="129" customFormat="1" ht="24.75" customHeight="1">
      <c r="A30" s="122" t="s">
        <v>133</v>
      </c>
      <c r="B30" s="32" t="s">
        <v>331</v>
      </c>
      <c r="C30" s="137" t="s">
        <v>339</v>
      </c>
      <c r="D30" s="130" t="s">
        <v>332</v>
      </c>
      <c r="E30" s="15">
        <v>1430.01</v>
      </c>
      <c r="F30" s="131">
        <v>0.47</v>
      </c>
      <c r="G30" s="15">
        <v>0.57999999999999996</v>
      </c>
      <c r="H30" s="16">
        <f t="shared" si="1"/>
        <v>829.40579999999989</v>
      </c>
    </row>
    <row r="31" spans="1:12" s="129" customFormat="1" ht="69" customHeight="1">
      <c r="A31" s="122" t="s">
        <v>134</v>
      </c>
      <c r="B31" s="32" t="s">
        <v>355</v>
      </c>
      <c r="C31" s="138" t="s">
        <v>356</v>
      </c>
      <c r="D31" s="126" t="s">
        <v>299</v>
      </c>
      <c r="E31" s="15">
        <v>76.06</v>
      </c>
      <c r="F31" s="15">
        <v>594.16</v>
      </c>
      <c r="G31" s="15">
        <v>733.07</v>
      </c>
      <c r="H31" s="16">
        <f t="shared" si="1"/>
        <v>55757.304200000006</v>
      </c>
      <c r="L31" s="134"/>
    </row>
    <row r="32" spans="1:12" s="129" customFormat="1" ht="14.25" customHeight="1">
      <c r="A32" s="122" t="s">
        <v>135</v>
      </c>
      <c r="B32" s="32" t="s">
        <v>344</v>
      </c>
      <c r="C32" s="138" t="s">
        <v>345</v>
      </c>
      <c r="D32" s="126" t="s">
        <v>341</v>
      </c>
      <c r="E32" s="15">
        <v>3010.32</v>
      </c>
      <c r="F32" s="15">
        <v>0.71</v>
      </c>
      <c r="G32" s="15">
        <v>0.88</v>
      </c>
      <c r="H32" s="16">
        <f t="shared" si="1"/>
        <v>2649.0816</v>
      </c>
    </row>
    <row r="33" spans="1:12" s="129" customFormat="1" ht="14.25" customHeight="1">
      <c r="A33" s="122" t="s">
        <v>357</v>
      </c>
      <c r="B33" s="32" t="s">
        <v>346</v>
      </c>
      <c r="C33" s="138" t="s">
        <v>347</v>
      </c>
      <c r="D33" s="126" t="s">
        <v>341</v>
      </c>
      <c r="E33" s="15">
        <v>502.94</v>
      </c>
      <c r="F33" s="15">
        <v>1.18</v>
      </c>
      <c r="G33" s="15">
        <v>1.46</v>
      </c>
      <c r="H33" s="16">
        <f t="shared" si="1"/>
        <v>734.29239999999993</v>
      </c>
    </row>
    <row r="34" spans="1:12" s="129" customFormat="1" ht="23.25" customHeight="1">
      <c r="A34" s="122" t="s">
        <v>358</v>
      </c>
      <c r="B34" s="32" t="s">
        <v>331</v>
      </c>
      <c r="C34" s="138" t="s">
        <v>348</v>
      </c>
      <c r="D34" s="126" t="s">
        <v>332</v>
      </c>
      <c r="E34" s="15">
        <v>4709.8999999999996</v>
      </c>
      <c r="F34" s="15">
        <v>0.47</v>
      </c>
      <c r="G34" s="15">
        <v>0.57999999999999996</v>
      </c>
      <c r="H34" s="16">
        <f t="shared" si="1"/>
        <v>2731.7419999999997</v>
      </c>
    </row>
    <row r="35" spans="1:12" s="129" customFormat="1" ht="24.75" customHeight="1">
      <c r="A35" s="122" t="s">
        <v>359</v>
      </c>
      <c r="B35" s="32" t="s">
        <v>331</v>
      </c>
      <c r="C35" s="138" t="s">
        <v>337</v>
      </c>
      <c r="D35" s="126" t="s">
        <v>332</v>
      </c>
      <c r="E35" s="15">
        <v>15517.12</v>
      </c>
      <c r="F35" s="15">
        <v>0.47</v>
      </c>
      <c r="G35" s="15">
        <v>0.57999999999999996</v>
      </c>
      <c r="H35" s="16">
        <f t="shared" si="1"/>
        <v>8999.9295999999995</v>
      </c>
    </row>
    <row r="36" spans="1:12" s="129" customFormat="1" ht="12.75" customHeight="1">
      <c r="A36" s="122"/>
      <c r="B36" s="32"/>
      <c r="C36" s="138"/>
      <c r="D36" s="126"/>
      <c r="E36" s="15"/>
      <c r="F36" s="15"/>
      <c r="G36" s="15"/>
      <c r="H36" s="16"/>
    </row>
    <row r="37" spans="1:12" s="56" customFormat="1">
      <c r="A37" s="124">
        <v>4</v>
      </c>
      <c r="B37" s="35"/>
      <c r="C37" s="125" t="s">
        <v>421</v>
      </c>
      <c r="D37" s="127"/>
      <c r="E37" s="54"/>
      <c r="F37" s="54"/>
      <c r="G37" s="15">
        <f>F37*1.2614</f>
        <v>0</v>
      </c>
      <c r="H37" s="55">
        <f>SUM(H38:H44)</f>
        <v>107136.73430000001</v>
      </c>
    </row>
    <row r="38" spans="1:12" s="129" customFormat="1" ht="56.25" customHeight="1">
      <c r="A38" s="122" t="s">
        <v>120</v>
      </c>
      <c r="B38" s="32" t="s">
        <v>328</v>
      </c>
      <c r="C38" s="123" t="s">
        <v>333</v>
      </c>
      <c r="D38" s="130" t="s">
        <v>161</v>
      </c>
      <c r="E38" s="136">
        <v>3613.21</v>
      </c>
      <c r="F38" s="131">
        <v>1.1100000000000001</v>
      </c>
      <c r="G38" s="15">
        <v>1.37</v>
      </c>
      <c r="H38" s="16">
        <f t="shared" ref="H38:H44" si="2">E38*G38</f>
        <v>4950.0977000000003</v>
      </c>
    </row>
    <row r="39" spans="1:12" s="129" customFormat="1" ht="24.75" customHeight="1">
      <c r="A39" s="122" t="s">
        <v>360</v>
      </c>
      <c r="B39" s="32" t="s">
        <v>331</v>
      </c>
      <c r="C39" s="137" t="s">
        <v>339</v>
      </c>
      <c r="D39" s="130" t="s">
        <v>332</v>
      </c>
      <c r="E39" s="15">
        <v>2037.85</v>
      </c>
      <c r="F39" s="131">
        <v>0.47</v>
      </c>
      <c r="G39" s="15">
        <v>0.57999999999999996</v>
      </c>
      <c r="H39" s="16">
        <f t="shared" si="2"/>
        <v>1181.953</v>
      </c>
    </row>
    <row r="40" spans="1:12" s="129" customFormat="1" ht="69.75" customHeight="1">
      <c r="A40" s="122" t="s">
        <v>361</v>
      </c>
      <c r="B40" s="32" t="s">
        <v>355</v>
      </c>
      <c r="C40" s="138" t="s">
        <v>356</v>
      </c>
      <c r="D40" s="126" t="s">
        <v>299</v>
      </c>
      <c r="E40" s="15">
        <v>108.4</v>
      </c>
      <c r="F40" s="15">
        <v>594.16</v>
      </c>
      <c r="G40" s="15">
        <v>733.07</v>
      </c>
      <c r="H40" s="16">
        <f t="shared" si="2"/>
        <v>79464.788000000015</v>
      </c>
      <c r="L40" s="134"/>
    </row>
    <row r="41" spans="1:12" s="129" customFormat="1" ht="14.25" customHeight="1">
      <c r="A41" s="122" t="s">
        <v>362</v>
      </c>
      <c r="B41" s="32" t="s">
        <v>344</v>
      </c>
      <c r="C41" s="138" t="s">
        <v>345</v>
      </c>
      <c r="D41" s="126" t="s">
        <v>341</v>
      </c>
      <c r="E41" s="15">
        <v>4289.8999999999996</v>
      </c>
      <c r="F41" s="15">
        <v>0.71</v>
      </c>
      <c r="G41" s="15">
        <v>0.88</v>
      </c>
      <c r="H41" s="16">
        <f t="shared" si="2"/>
        <v>3775.1119999999996</v>
      </c>
    </row>
    <row r="42" spans="1:12" s="129" customFormat="1" ht="14.25" customHeight="1">
      <c r="A42" s="122" t="s">
        <v>363</v>
      </c>
      <c r="B42" s="32" t="s">
        <v>346</v>
      </c>
      <c r="C42" s="138" t="s">
        <v>347</v>
      </c>
      <c r="D42" s="126" t="s">
        <v>341</v>
      </c>
      <c r="E42" s="15">
        <v>716.72</v>
      </c>
      <c r="F42" s="15">
        <v>1.18</v>
      </c>
      <c r="G42" s="15">
        <v>1.46</v>
      </c>
      <c r="H42" s="16">
        <f t="shared" si="2"/>
        <v>1046.4112</v>
      </c>
    </row>
    <row r="43" spans="1:12" s="129" customFormat="1" ht="23.25" customHeight="1">
      <c r="A43" s="122" t="s">
        <v>364</v>
      </c>
      <c r="B43" s="32" t="s">
        <v>331</v>
      </c>
      <c r="C43" s="138" t="s">
        <v>348</v>
      </c>
      <c r="D43" s="126" t="s">
        <v>332</v>
      </c>
      <c r="E43" s="15">
        <v>6711.91</v>
      </c>
      <c r="F43" s="15">
        <v>0.47</v>
      </c>
      <c r="G43" s="15">
        <v>0.57999999999999996</v>
      </c>
      <c r="H43" s="16">
        <f t="shared" si="2"/>
        <v>3892.9077999999995</v>
      </c>
    </row>
    <row r="44" spans="1:12" s="129" customFormat="1" ht="24.75" customHeight="1">
      <c r="A44" s="122" t="s">
        <v>365</v>
      </c>
      <c r="B44" s="32" t="s">
        <v>331</v>
      </c>
      <c r="C44" s="138" t="s">
        <v>337</v>
      </c>
      <c r="D44" s="126" t="s">
        <v>332</v>
      </c>
      <c r="E44" s="15">
        <v>22112.87</v>
      </c>
      <c r="F44" s="15">
        <v>0.47</v>
      </c>
      <c r="G44" s="15">
        <v>0.57999999999999996</v>
      </c>
      <c r="H44" s="16">
        <f t="shared" si="2"/>
        <v>12825.464599999999</v>
      </c>
    </row>
    <row r="45" spans="1:12" s="129" customFormat="1" ht="12" customHeight="1">
      <c r="A45" s="122"/>
      <c r="B45" s="32"/>
      <c r="C45" s="138"/>
      <c r="D45" s="126"/>
      <c r="E45" s="15"/>
      <c r="F45" s="15"/>
      <c r="G45" s="15"/>
      <c r="H45" s="16"/>
    </row>
    <row r="46" spans="1:12" s="56" customFormat="1">
      <c r="A46" s="124">
        <v>5</v>
      </c>
      <c r="B46" s="35"/>
      <c r="C46" s="125" t="s">
        <v>446</v>
      </c>
      <c r="D46" s="127"/>
      <c r="E46" s="54"/>
      <c r="F46" s="54"/>
      <c r="G46" s="15">
        <f>F46*1.2614</f>
        <v>0</v>
      </c>
      <c r="H46" s="55">
        <f>SUM(H47:H53)</f>
        <v>110963.2501</v>
      </c>
    </row>
    <row r="47" spans="1:12" s="129" customFormat="1" ht="56.25" customHeight="1">
      <c r="A47" s="122" t="s">
        <v>224</v>
      </c>
      <c r="B47" s="32" t="s">
        <v>328</v>
      </c>
      <c r="C47" s="123" t="s">
        <v>333</v>
      </c>
      <c r="D47" s="130" t="s">
        <v>161</v>
      </c>
      <c r="E47" s="136">
        <v>3742.42</v>
      </c>
      <c r="F47" s="131">
        <v>1.1100000000000001</v>
      </c>
      <c r="G47" s="15">
        <v>1.37</v>
      </c>
      <c r="H47" s="16">
        <f t="shared" ref="H47:H53" si="3">E47*G47</f>
        <v>5127.1154000000006</v>
      </c>
    </row>
    <row r="48" spans="1:12" s="129" customFormat="1" ht="24.75" customHeight="1">
      <c r="A48" s="122" t="s">
        <v>366</v>
      </c>
      <c r="B48" s="32" t="s">
        <v>331</v>
      </c>
      <c r="C48" s="137" t="s">
        <v>339</v>
      </c>
      <c r="D48" s="130" t="s">
        <v>332</v>
      </c>
      <c r="E48" s="15">
        <v>2110.73</v>
      </c>
      <c r="F48" s="131">
        <v>0.47</v>
      </c>
      <c r="G48" s="15">
        <v>0.57999999999999996</v>
      </c>
      <c r="H48" s="16">
        <f t="shared" si="3"/>
        <v>1224.2233999999999</v>
      </c>
    </row>
    <row r="49" spans="1:12" s="129" customFormat="1" ht="69.75" customHeight="1">
      <c r="A49" s="122" t="s">
        <v>367</v>
      </c>
      <c r="B49" s="32" t="s">
        <v>355</v>
      </c>
      <c r="C49" s="138" t="s">
        <v>356</v>
      </c>
      <c r="D49" s="126" t="s">
        <v>299</v>
      </c>
      <c r="E49" s="15">
        <v>112.27</v>
      </c>
      <c r="F49" s="15">
        <v>594.16</v>
      </c>
      <c r="G49" s="15">
        <v>733.07</v>
      </c>
      <c r="H49" s="16">
        <f t="shared" si="3"/>
        <v>82301.768899999995</v>
      </c>
      <c r="L49" s="134"/>
    </row>
    <row r="50" spans="1:12" s="129" customFormat="1" ht="14.25" customHeight="1">
      <c r="A50" s="122" t="s">
        <v>368</v>
      </c>
      <c r="B50" s="32" t="s">
        <v>344</v>
      </c>
      <c r="C50" s="138" t="s">
        <v>345</v>
      </c>
      <c r="D50" s="126" t="s">
        <v>341</v>
      </c>
      <c r="E50" s="15">
        <v>4443.3</v>
      </c>
      <c r="F50" s="15">
        <v>0.71</v>
      </c>
      <c r="G50" s="15">
        <v>0.88</v>
      </c>
      <c r="H50" s="16">
        <f t="shared" si="3"/>
        <v>3910.1040000000003</v>
      </c>
    </row>
    <row r="51" spans="1:12" s="129" customFormat="1" ht="14.25" customHeight="1">
      <c r="A51" s="122" t="s">
        <v>369</v>
      </c>
      <c r="B51" s="32" t="s">
        <v>346</v>
      </c>
      <c r="C51" s="138" t="s">
        <v>347</v>
      </c>
      <c r="D51" s="126" t="s">
        <v>341</v>
      </c>
      <c r="E51" s="15">
        <v>742.35</v>
      </c>
      <c r="F51" s="15">
        <v>1.18</v>
      </c>
      <c r="G51" s="15">
        <v>1.46</v>
      </c>
      <c r="H51" s="16">
        <f t="shared" si="3"/>
        <v>1083.8309999999999</v>
      </c>
    </row>
    <row r="52" spans="1:12" s="129" customFormat="1" ht="23.25" customHeight="1">
      <c r="A52" s="122" t="s">
        <v>370</v>
      </c>
      <c r="B52" s="32" t="s">
        <v>331</v>
      </c>
      <c r="C52" s="138" t="s">
        <v>348</v>
      </c>
      <c r="D52" s="126" t="s">
        <v>332</v>
      </c>
      <c r="E52" s="15">
        <v>6951.92</v>
      </c>
      <c r="F52" s="15">
        <v>0.47</v>
      </c>
      <c r="G52" s="15">
        <v>0.57999999999999996</v>
      </c>
      <c r="H52" s="16">
        <f t="shared" si="3"/>
        <v>4032.1135999999997</v>
      </c>
    </row>
    <row r="53" spans="1:12" s="129" customFormat="1" ht="24.75" customHeight="1">
      <c r="A53" s="122" t="s">
        <v>371</v>
      </c>
      <c r="B53" s="32" t="s">
        <v>331</v>
      </c>
      <c r="C53" s="138" t="s">
        <v>337</v>
      </c>
      <c r="D53" s="126" t="s">
        <v>332</v>
      </c>
      <c r="E53" s="15">
        <v>22903.61</v>
      </c>
      <c r="F53" s="15">
        <v>0.47</v>
      </c>
      <c r="G53" s="15">
        <v>0.57999999999999996</v>
      </c>
      <c r="H53" s="16">
        <f t="shared" si="3"/>
        <v>13284.093799999999</v>
      </c>
    </row>
    <row r="54" spans="1:12">
      <c r="A54" s="122"/>
      <c r="B54" s="32"/>
      <c r="C54" s="123"/>
      <c r="D54" s="126"/>
      <c r="E54" s="15"/>
      <c r="F54" s="15"/>
      <c r="G54" s="15"/>
      <c r="H54" s="16"/>
      <c r="I54" s="24"/>
      <c r="L54" s="24"/>
    </row>
    <row r="55" spans="1:12" s="56" customFormat="1">
      <c r="A55" s="124">
        <v>6</v>
      </c>
      <c r="B55" s="35"/>
      <c r="C55" s="125" t="s">
        <v>422</v>
      </c>
      <c r="D55" s="127"/>
      <c r="E55" s="54"/>
      <c r="F55" s="54"/>
      <c r="G55" s="15">
        <f>F55*1.2614</f>
        <v>0</v>
      </c>
      <c r="H55" s="55">
        <f>SUM(H56:H62)</f>
        <v>126657.1441</v>
      </c>
    </row>
    <row r="56" spans="1:12" s="129" customFormat="1" ht="56.25" customHeight="1">
      <c r="A56" s="122" t="s">
        <v>284</v>
      </c>
      <c r="B56" s="32" t="s">
        <v>328</v>
      </c>
      <c r="C56" s="123" t="s">
        <v>333</v>
      </c>
      <c r="D56" s="130" t="s">
        <v>161</v>
      </c>
      <c r="E56" s="136">
        <v>4271.6000000000004</v>
      </c>
      <c r="F56" s="131">
        <v>1.1100000000000001</v>
      </c>
      <c r="G56" s="15">
        <v>1.37</v>
      </c>
      <c r="H56" s="16">
        <f t="shared" ref="H56:H62" si="4">E56*G56</f>
        <v>5852.0920000000006</v>
      </c>
    </row>
    <row r="57" spans="1:12" s="129" customFormat="1" ht="24.75" customHeight="1">
      <c r="A57" s="122" t="s">
        <v>372</v>
      </c>
      <c r="B57" s="32" t="s">
        <v>331</v>
      </c>
      <c r="C57" s="137" t="s">
        <v>339</v>
      </c>
      <c r="D57" s="130" t="s">
        <v>332</v>
      </c>
      <c r="E57" s="15">
        <v>2409.1799999999998</v>
      </c>
      <c r="F57" s="131">
        <v>0.47</v>
      </c>
      <c r="G57" s="15">
        <v>0.57999999999999996</v>
      </c>
      <c r="H57" s="16">
        <f t="shared" si="4"/>
        <v>1397.3243999999997</v>
      </c>
    </row>
    <row r="58" spans="1:12" s="129" customFormat="1" ht="69" customHeight="1">
      <c r="A58" s="122" t="s">
        <v>373</v>
      </c>
      <c r="B58" s="32" t="s">
        <v>355</v>
      </c>
      <c r="C58" s="138" t="s">
        <v>356</v>
      </c>
      <c r="D58" s="126" t="s">
        <v>299</v>
      </c>
      <c r="E58" s="15">
        <v>128.15</v>
      </c>
      <c r="F58" s="15">
        <v>594.16</v>
      </c>
      <c r="G58" s="15">
        <v>733.07</v>
      </c>
      <c r="H58" s="16">
        <f t="shared" si="4"/>
        <v>93942.920500000007</v>
      </c>
      <c r="L58" s="134"/>
    </row>
    <row r="59" spans="1:12" s="129" customFormat="1" ht="14.25" customHeight="1">
      <c r="A59" s="122" t="s">
        <v>374</v>
      </c>
      <c r="B59" s="32" t="s">
        <v>344</v>
      </c>
      <c r="C59" s="138" t="s">
        <v>345</v>
      </c>
      <c r="D59" s="126" t="s">
        <v>341</v>
      </c>
      <c r="E59" s="15">
        <v>5071.59</v>
      </c>
      <c r="F59" s="15">
        <v>0.71</v>
      </c>
      <c r="G59" s="15">
        <v>0.88</v>
      </c>
      <c r="H59" s="16">
        <f t="shared" si="4"/>
        <v>4462.9992000000002</v>
      </c>
    </row>
    <row r="60" spans="1:12" s="129" customFormat="1" ht="14.25" customHeight="1">
      <c r="A60" s="122" t="s">
        <v>375</v>
      </c>
      <c r="B60" s="32" t="s">
        <v>346</v>
      </c>
      <c r="C60" s="138" t="s">
        <v>347</v>
      </c>
      <c r="D60" s="126" t="s">
        <v>341</v>
      </c>
      <c r="E60" s="15">
        <v>847.31</v>
      </c>
      <c r="F60" s="15">
        <v>1.18</v>
      </c>
      <c r="G60" s="15">
        <v>1.46</v>
      </c>
      <c r="H60" s="16">
        <f t="shared" si="4"/>
        <v>1237.0726</v>
      </c>
    </row>
    <row r="61" spans="1:12" s="129" customFormat="1" ht="23.25" customHeight="1">
      <c r="A61" s="122" t="s">
        <v>376</v>
      </c>
      <c r="B61" s="32" t="s">
        <v>331</v>
      </c>
      <c r="C61" s="138" t="s">
        <v>348</v>
      </c>
      <c r="D61" s="126" t="s">
        <v>332</v>
      </c>
      <c r="E61" s="15">
        <v>7934.93</v>
      </c>
      <c r="F61" s="15">
        <v>0.47</v>
      </c>
      <c r="G61" s="15">
        <v>0.57999999999999996</v>
      </c>
      <c r="H61" s="16">
        <f t="shared" si="4"/>
        <v>4602.2593999999999</v>
      </c>
    </row>
    <row r="62" spans="1:12" s="129" customFormat="1" ht="24.75" customHeight="1">
      <c r="A62" s="122" t="s">
        <v>377</v>
      </c>
      <c r="B62" s="32" t="s">
        <v>331</v>
      </c>
      <c r="C62" s="138" t="s">
        <v>337</v>
      </c>
      <c r="D62" s="126" t="s">
        <v>332</v>
      </c>
      <c r="E62" s="15">
        <v>26142.2</v>
      </c>
      <c r="F62" s="15">
        <v>0.47</v>
      </c>
      <c r="G62" s="15">
        <v>0.57999999999999996</v>
      </c>
      <c r="H62" s="16">
        <f t="shared" si="4"/>
        <v>15162.475999999999</v>
      </c>
    </row>
    <row r="63" spans="1:12" s="129" customFormat="1" ht="12.75" customHeight="1">
      <c r="A63" s="122"/>
      <c r="B63" s="32"/>
      <c r="C63" s="138"/>
      <c r="D63" s="126"/>
      <c r="E63" s="15"/>
      <c r="F63" s="15"/>
      <c r="G63" s="15"/>
      <c r="H63" s="16"/>
    </row>
    <row r="64" spans="1:12" s="56" customFormat="1">
      <c r="A64" s="124">
        <v>7</v>
      </c>
      <c r="B64" s="35"/>
      <c r="C64" s="125" t="s">
        <v>423</v>
      </c>
      <c r="D64" s="127"/>
      <c r="E64" s="54"/>
      <c r="F64" s="54"/>
      <c r="G64" s="15">
        <f>F64*1.2614</f>
        <v>0</v>
      </c>
      <c r="H64" s="55">
        <f>SUM(H65:H71)</f>
        <v>41808.094100000002</v>
      </c>
    </row>
    <row r="65" spans="1:12" s="129" customFormat="1" ht="56.25" customHeight="1">
      <c r="A65" s="122" t="s">
        <v>291</v>
      </c>
      <c r="B65" s="32" t="s">
        <v>328</v>
      </c>
      <c r="C65" s="123" t="s">
        <v>333</v>
      </c>
      <c r="D65" s="130" t="s">
        <v>161</v>
      </c>
      <c r="E65" s="136">
        <v>1410.09</v>
      </c>
      <c r="F65" s="131">
        <v>1.1100000000000001</v>
      </c>
      <c r="G65" s="15">
        <v>1.37</v>
      </c>
      <c r="H65" s="16">
        <f t="shared" ref="H65:H71" si="5">E65*G65</f>
        <v>1931.8233</v>
      </c>
    </row>
    <row r="66" spans="1:12" s="129" customFormat="1" ht="24.75" customHeight="1">
      <c r="A66" s="122" t="s">
        <v>378</v>
      </c>
      <c r="B66" s="32" t="s">
        <v>331</v>
      </c>
      <c r="C66" s="137" t="s">
        <v>339</v>
      </c>
      <c r="D66" s="130" t="s">
        <v>332</v>
      </c>
      <c r="E66" s="15">
        <v>795.29</v>
      </c>
      <c r="F66" s="131">
        <v>0.47</v>
      </c>
      <c r="G66" s="15">
        <v>0.57999999999999996</v>
      </c>
      <c r="H66" s="16">
        <f t="shared" si="5"/>
        <v>461.26819999999992</v>
      </c>
    </row>
    <row r="67" spans="1:12" s="129" customFormat="1" ht="69" customHeight="1">
      <c r="A67" s="122" t="s">
        <v>379</v>
      </c>
      <c r="B67" s="32" t="s">
        <v>355</v>
      </c>
      <c r="C67" s="138" t="s">
        <v>356</v>
      </c>
      <c r="D67" s="126" t="s">
        <v>299</v>
      </c>
      <c r="E67" s="15">
        <v>42.3</v>
      </c>
      <c r="F67" s="15">
        <v>594.16</v>
      </c>
      <c r="G67" s="15">
        <v>733.07</v>
      </c>
      <c r="H67" s="16">
        <f t="shared" si="5"/>
        <v>31008.861000000001</v>
      </c>
      <c r="L67" s="134"/>
    </row>
    <row r="68" spans="1:12" s="129" customFormat="1" ht="14.25" customHeight="1">
      <c r="A68" s="122" t="s">
        <v>380</v>
      </c>
      <c r="B68" s="32" t="s">
        <v>344</v>
      </c>
      <c r="C68" s="138" t="s">
        <v>345</v>
      </c>
      <c r="D68" s="126" t="s">
        <v>341</v>
      </c>
      <c r="E68" s="15">
        <v>1674.17</v>
      </c>
      <c r="F68" s="15">
        <v>0.71</v>
      </c>
      <c r="G68" s="15">
        <v>0.88</v>
      </c>
      <c r="H68" s="16">
        <f t="shared" si="5"/>
        <v>1473.2696000000001</v>
      </c>
    </row>
    <row r="69" spans="1:12" s="129" customFormat="1" ht="14.25" customHeight="1">
      <c r="A69" s="122" t="s">
        <v>381</v>
      </c>
      <c r="B69" s="32" t="s">
        <v>346</v>
      </c>
      <c r="C69" s="138" t="s">
        <v>347</v>
      </c>
      <c r="D69" s="126" t="s">
        <v>341</v>
      </c>
      <c r="E69" s="15">
        <v>279.70999999999998</v>
      </c>
      <c r="F69" s="15">
        <v>1.18</v>
      </c>
      <c r="G69" s="15">
        <v>1.46</v>
      </c>
      <c r="H69" s="16">
        <f t="shared" si="5"/>
        <v>408.37659999999994</v>
      </c>
    </row>
    <row r="70" spans="1:12" s="129" customFormat="1" ht="23.25" customHeight="1">
      <c r="A70" s="122" t="s">
        <v>382</v>
      </c>
      <c r="B70" s="32" t="s">
        <v>331</v>
      </c>
      <c r="C70" s="138" t="s">
        <v>348</v>
      </c>
      <c r="D70" s="126" t="s">
        <v>332</v>
      </c>
      <c r="E70" s="15">
        <v>2619.38</v>
      </c>
      <c r="F70" s="15">
        <v>0.47</v>
      </c>
      <c r="G70" s="15">
        <v>0.57999999999999996</v>
      </c>
      <c r="H70" s="16">
        <f t="shared" si="5"/>
        <v>1519.2403999999999</v>
      </c>
    </row>
    <row r="71" spans="1:12" s="129" customFormat="1" ht="24.75" customHeight="1">
      <c r="A71" s="122" t="s">
        <v>383</v>
      </c>
      <c r="B71" s="32" t="s">
        <v>331</v>
      </c>
      <c r="C71" s="138" t="s">
        <v>337</v>
      </c>
      <c r="D71" s="126" t="s">
        <v>332</v>
      </c>
      <c r="E71" s="15">
        <v>8629.75</v>
      </c>
      <c r="F71" s="15">
        <v>0.47</v>
      </c>
      <c r="G71" s="15">
        <v>0.57999999999999996</v>
      </c>
      <c r="H71" s="16">
        <f t="shared" si="5"/>
        <v>5005.2550000000001</v>
      </c>
    </row>
    <row r="72" spans="1:12" s="129" customFormat="1" ht="12.75" customHeight="1">
      <c r="A72" s="122"/>
      <c r="B72" s="32"/>
      <c r="C72" s="138"/>
      <c r="D72" s="126"/>
      <c r="E72" s="15"/>
      <c r="F72" s="15"/>
      <c r="G72" s="15"/>
      <c r="H72" s="16"/>
    </row>
    <row r="73" spans="1:12" s="56" customFormat="1">
      <c r="A73" s="124">
        <v>8</v>
      </c>
      <c r="B73" s="35"/>
      <c r="C73" s="125" t="s">
        <v>424</v>
      </c>
      <c r="D73" s="127"/>
      <c r="E73" s="54"/>
      <c r="F73" s="54"/>
      <c r="G73" s="15">
        <f>F73*1.2614</f>
        <v>0</v>
      </c>
      <c r="H73" s="55">
        <f>SUM(H74:H80)</f>
        <v>102016.86260000001</v>
      </c>
    </row>
    <row r="74" spans="1:12" s="129" customFormat="1" ht="56.25" customHeight="1">
      <c r="A74" s="122" t="s">
        <v>384</v>
      </c>
      <c r="B74" s="32" t="s">
        <v>328</v>
      </c>
      <c r="C74" s="123" t="s">
        <v>333</v>
      </c>
      <c r="D74" s="130" t="s">
        <v>161</v>
      </c>
      <c r="E74" s="136">
        <v>3440.52</v>
      </c>
      <c r="F74" s="131">
        <v>1.1100000000000001</v>
      </c>
      <c r="G74" s="15">
        <v>1.37</v>
      </c>
      <c r="H74" s="16">
        <f t="shared" ref="H74:H80" si="6">E74*G74</f>
        <v>4713.5124000000005</v>
      </c>
    </row>
    <row r="75" spans="1:12" s="129" customFormat="1" ht="24.75" customHeight="1">
      <c r="A75" s="122" t="s">
        <v>385</v>
      </c>
      <c r="B75" s="32" t="s">
        <v>331</v>
      </c>
      <c r="C75" s="137" t="s">
        <v>339</v>
      </c>
      <c r="D75" s="130" t="s">
        <v>332</v>
      </c>
      <c r="E75" s="15">
        <v>1940.46</v>
      </c>
      <c r="F75" s="131">
        <v>0.47</v>
      </c>
      <c r="G75" s="15">
        <v>0.57999999999999996</v>
      </c>
      <c r="H75" s="16">
        <f t="shared" si="6"/>
        <v>1125.4667999999999</v>
      </c>
    </row>
    <row r="76" spans="1:12" s="129" customFormat="1" ht="68.25" customHeight="1">
      <c r="A76" s="122" t="s">
        <v>386</v>
      </c>
      <c r="B76" s="32" t="s">
        <v>355</v>
      </c>
      <c r="C76" s="138" t="s">
        <v>356</v>
      </c>
      <c r="D76" s="126" t="s">
        <v>299</v>
      </c>
      <c r="E76" s="15">
        <v>103.22</v>
      </c>
      <c r="F76" s="15">
        <v>594.16</v>
      </c>
      <c r="G76" s="15">
        <v>733.07</v>
      </c>
      <c r="H76" s="16">
        <f t="shared" si="6"/>
        <v>75667.485400000005</v>
      </c>
      <c r="L76" s="134"/>
    </row>
    <row r="77" spans="1:12" s="129" customFormat="1" ht="14.25" customHeight="1">
      <c r="A77" s="122" t="s">
        <v>387</v>
      </c>
      <c r="B77" s="32" t="s">
        <v>344</v>
      </c>
      <c r="C77" s="138" t="s">
        <v>345</v>
      </c>
      <c r="D77" s="126" t="s">
        <v>341</v>
      </c>
      <c r="E77" s="15">
        <v>4084.86</v>
      </c>
      <c r="F77" s="15">
        <v>0.71</v>
      </c>
      <c r="G77" s="15">
        <v>0.88</v>
      </c>
      <c r="H77" s="16">
        <f t="shared" si="6"/>
        <v>3594.6768000000002</v>
      </c>
    </row>
    <row r="78" spans="1:12" s="129" customFormat="1" ht="14.25" customHeight="1">
      <c r="A78" s="122" t="s">
        <v>388</v>
      </c>
      <c r="B78" s="32" t="s">
        <v>346</v>
      </c>
      <c r="C78" s="138" t="s">
        <v>347</v>
      </c>
      <c r="D78" s="126" t="s">
        <v>341</v>
      </c>
      <c r="E78" s="15">
        <v>682.46</v>
      </c>
      <c r="F78" s="15">
        <v>1.18</v>
      </c>
      <c r="G78" s="15">
        <v>1.46</v>
      </c>
      <c r="H78" s="16">
        <f t="shared" si="6"/>
        <v>996.39160000000004</v>
      </c>
    </row>
    <row r="79" spans="1:12" s="129" customFormat="1" ht="23.25" customHeight="1">
      <c r="A79" s="122" t="s">
        <v>389</v>
      </c>
      <c r="B79" s="32" t="s">
        <v>331</v>
      </c>
      <c r="C79" s="138" t="s">
        <v>348</v>
      </c>
      <c r="D79" s="126" t="s">
        <v>332</v>
      </c>
      <c r="E79" s="15">
        <v>6391.12</v>
      </c>
      <c r="F79" s="15">
        <v>0.47</v>
      </c>
      <c r="G79" s="15">
        <v>0.57999999999999996</v>
      </c>
      <c r="H79" s="16">
        <f t="shared" si="6"/>
        <v>3706.8495999999996</v>
      </c>
    </row>
    <row r="80" spans="1:12" s="129" customFormat="1" ht="24.75" customHeight="1">
      <c r="A80" s="122" t="s">
        <v>390</v>
      </c>
      <c r="B80" s="32" t="s">
        <v>331</v>
      </c>
      <c r="C80" s="138" t="s">
        <v>337</v>
      </c>
      <c r="D80" s="126" t="s">
        <v>332</v>
      </c>
      <c r="E80" s="15">
        <v>21056</v>
      </c>
      <c r="F80" s="15">
        <v>0.47</v>
      </c>
      <c r="G80" s="15">
        <v>0.57999999999999996</v>
      </c>
      <c r="H80" s="16">
        <f t="shared" si="6"/>
        <v>12212.48</v>
      </c>
    </row>
    <row r="81" spans="1:12" s="129" customFormat="1" ht="12" customHeight="1">
      <c r="A81" s="122"/>
      <c r="B81" s="32"/>
      <c r="C81" s="138"/>
      <c r="D81" s="126"/>
      <c r="E81" s="15"/>
      <c r="F81" s="15"/>
      <c r="G81" s="15"/>
      <c r="H81" s="16"/>
    </row>
    <row r="82" spans="1:12" s="56" customFormat="1">
      <c r="A82" s="124">
        <v>9</v>
      </c>
      <c r="B82" s="35"/>
      <c r="C82" s="125" t="s">
        <v>425</v>
      </c>
      <c r="D82" s="127"/>
      <c r="E82" s="54"/>
      <c r="F82" s="54"/>
      <c r="G82" s="15">
        <f>F82*1.2614</f>
        <v>0</v>
      </c>
      <c r="H82" s="55">
        <f>SUM(H83:H89)</f>
        <v>107898.60399999999</v>
      </c>
    </row>
    <row r="83" spans="1:12" s="129" customFormat="1" ht="56.25" customHeight="1">
      <c r="A83" s="122" t="s">
        <v>391</v>
      </c>
      <c r="B83" s="32" t="s">
        <v>328</v>
      </c>
      <c r="C83" s="123" t="s">
        <v>333</v>
      </c>
      <c r="D83" s="130" t="s">
        <v>161</v>
      </c>
      <c r="E83" s="136">
        <v>3638.99</v>
      </c>
      <c r="F83" s="131">
        <v>1.1100000000000001</v>
      </c>
      <c r="G83" s="15">
        <v>1.37</v>
      </c>
      <c r="H83" s="16">
        <f t="shared" ref="H83:H89" si="7">E83*G83</f>
        <v>4985.4162999999999</v>
      </c>
    </row>
    <row r="84" spans="1:12" s="129" customFormat="1" ht="24.75" customHeight="1">
      <c r="A84" s="122" t="s">
        <v>392</v>
      </c>
      <c r="B84" s="32" t="s">
        <v>331</v>
      </c>
      <c r="C84" s="137" t="s">
        <v>339</v>
      </c>
      <c r="D84" s="130" t="s">
        <v>332</v>
      </c>
      <c r="E84" s="15">
        <v>2052.39</v>
      </c>
      <c r="F84" s="131">
        <v>0.47</v>
      </c>
      <c r="G84" s="15">
        <v>0.57999999999999996</v>
      </c>
      <c r="H84" s="16">
        <f t="shared" si="7"/>
        <v>1190.3861999999999</v>
      </c>
    </row>
    <row r="85" spans="1:12" s="129" customFormat="1" ht="66.75" customHeight="1">
      <c r="A85" s="122" t="s">
        <v>393</v>
      </c>
      <c r="B85" s="32" t="s">
        <v>355</v>
      </c>
      <c r="C85" s="138" t="s">
        <v>356</v>
      </c>
      <c r="D85" s="126" t="s">
        <v>299</v>
      </c>
      <c r="E85" s="15">
        <v>109.17</v>
      </c>
      <c r="F85" s="15">
        <v>594.16</v>
      </c>
      <c r="G85" s="15">
        <v>733.07</v>
      </c>
      <c r="H85" s="16">
        <f t="shared" si="7"/>
        <v>80029.251900000003</v>
      </c>
      <c r="L85" s="134"/>
    </row>
    <row r="86" spans="1:12" s="129" customFormat="1" ht="14.25" customHeight="1">
      <c r="A86" s="122" t="s">
        <v>394</v>
      </c>
      <c r="B86" s="32" t="s">
        <v>344</v>
      </c>
      <c r="C86" s="138" t="s">
        <v>345</v>
      </c>
      <c r="D86" s="126" t="s">
        <v>341</v>
      </c>
      <c r="E86" s="15">
        <v>4320.5</v>
      </c>
      <c r="F86" s="15">
        <v>0.71</v>
      </c>
      <c r="G86" s="15">
        <v>0.88</v>
      </c>
      <c r="H86" s="16">
        <f t="shared" si="7"/>
        <v>3802.04</v>
      </c>
    </row>
    <row r="87" spans="1:12" s="129" customFormat="1" ht="14.25" customHeight="1">
      <c r="A87" s="122" t="s">
        <v>395</v>
      </c>
      <c r="B87" s="32" t="s">
        <v>346</v>
      </c>
      <c r="C87" s="138" t="s">
        <v>347</v>
      </c>
      <c r="D87" s="126" t="s">
        <v>341</v>
      </c>
      <c r="E87" s="15">
        <v>721.83</v>
      </c>
      <c r="F87" s="15">
        <v>1.18</v>
      </c>
      <c r="G87" s="15">
        <v>1.46</v>
      </c>
      <c r="H87" s="16">
        <f t="shared" si="7"/>
        <v>1053.8718000000001</v>
      </c>
    </row>
    <row r="88" spans="1:12" s="129" customFormat="1" ht="23.25" customHeight="1">
      <c r="A88" s="122" t="s">
        <v>396</v>
      </c>
      <c r="B88" s="32" t="s">
        <v>331</v>
      </c>
      <c r="C88" s="138" t="s">
        <v>348</v>
      </c>
      <c r="D88" s="126" t="s">
        <v>332</v>
      </c>
      <c r="E88" s="15">
        <v>6759.79</v>
      </c>
      <c r="F88" s="15">
        <v>0.47</v>
      </c>
      <c r="G88" s="15">
        <v>0.57999999999999996</v>
      </c>
      <c r="H88" s="16">
        <f t="shared" si="7"/>
        <v>3920.6781999999998</v>
      </c>
    </row>
    <row r="89" spans="1:12" s="129" customFormat="1" ht="24.75" customHeight="1">
      <c r="A89" s="122" t="s">
        <v>397</v>
      </c>
      <c r="B89" s="32" t="s">
        <v>331</v>
      </c>
      <c r="C89" s="138" t="s">
        <v>337</v>
      </c>
      <c r="D89" s="126" t="s">
        <v>332</v>
      </c>
      <c r="E89" s="15">
        <v>22270.62</v>
      </c>
      <c r="F89" s="15">
        <v>0.47</v>
      </c>
      <c r="G89" s="15">
        <v>0.57999999999999996</v>
      </c>
      <c r="H89" s="16">
        <f t="shared" si="7"/>
        <v>12916.959599999998</v>
      </c>
    </row>
    <row r="90" spans="1:12" s="129" customFormat="1" ht="12.75" customHeight="1">
      <c r="A90" s="122"/>
      <c r="B90" s="32"/>
      <c r="C90" s="138"/>
      <c r="D90" s="126"/>
      <c r="E90" s="15"/>
      <c r="F90" s="15"/>
      <c r="G90" s="15"/>
      <c r="H90" s="16"/>
    </row>
    <row r="91" spans="1:12" s="56" customFormat="1">
      <c r="A91" s="124">
        <v>10</v>
      </c>
      <c r="B91" s="35"/>
      <c r="C91" s="125" t="s">
        <v>427</v>
      </c>
      <c r="D91" s="127"/>
      <c r="E91" s="54"/>
      <c r="F91" s="54"/>
      <c r="G91" s="15">
        <f>F91*1.2614</f>
        <v>0</v>
      </c>
      <c r="H91" s="55">
        <f>SUM(H92:H98)</f>
        <v>125689.05870000001</v>
      </c>
    </row>
    <row r="92" spans="1:12" s="129" customFormat="1" ht="56.25" customHeight="1">
      <c r="A92" s="122" t="s">
        <v>398</v>
      </c>
      <c r="B92" s="32" t="s">
        <v>328</v>
      </c>
      <c r="C92" s="123" t="s">
        <v>333</v>
      </c>
      <c r="D92" s="130" t="s">
        <v>161</v>
      </c>
      <c r="E92" s="136">
        <v>4239</v>
      </c>
      <c r="F92" s="131">
        <v>1.1100000000000001</v>
      </c>
      <c r="G92" s="15">
        <v>1.37</v>
      </c>
      <c r="H92" s="16">
        <f t="shared" ref="H92:H98" si="8">E92*G92</f>
        <v>5807.43</v>
      </c>
    </row>
    <row r="93" spans="1:12" s="129" customFormat="1" ht="24.75" customHeight="1">
      <c r="A93" s="122" t="s">
        <v>399</v>
      </c>
      <c r="B93" s="32" t="s">
        <v>331</v>
      </c>
      <c r="C93" s="137" t="s">
        <v>339</v>
      </c>
      <c r="D93" s="130" t="s">
        <v>332</v>
      </c>
      <c r="E93" s="15">
        <v>2390.8000000000002</v>
      </c>
      <c r="F93" s="131">
        <v>0.47</v>
      </c>
      <c r="G93" s="15">
        <v>0.57999999999999996</v>
      </c>
      <c r="H93" s="16">
        <f t="shared" si="8"/>
        <v>1386.664</v>
      </c>
    </row>
    <row r="94" spans="1:12" s="129" customFormat="1" ht="68.25" customHeight="1">
      <c r="A94" s="122" t="s">
        <v>400</v>
      </c>
      <c r="B94" s="32" t="s">
        <v>355</v>
      </c>
      <c r="C94" s="138" t="s">
        <v>356</v>
      </c>
      <c r="D94" s="126" t="s">
        <v>299</v>
      </c>
      <c r="E94" s="15">
        <v>127.17</v>
      </c>
      <c r="F94" s="15">
        <v>594.16</v>
      </c>
      <c r="G94" s="15">
        <v>733.07</v>
      </c>
      <c r="H94" s="16">
        <f t="shared" si="8"/>
        <v>93224.511900000012</v>
      </c>
      <c r="L94" s="134"/>
    </row>
    <row r="95" spans="1:12" s="129" customFormat="1" ht="14.25" customHeight="1">
      <c r="A95" s="122" t="s">
        <v>401</v>
      </c>
      <c r="B95" s="32" t="s">
        <v>344</v>
      </c>
      <c r="C95" s="138" t="s">
        <v>345</v>
      </c>
      <c r="D95" s="126" t="s">
        <v>341</v>
      </c>
      <c r="E95" s="15">
        <v>5032.88</v>
      </c>
      <c r="F95" s="15">
        <v>0.71</v>
      </c>
      <c r="G95" s="15">
        <v>0.88</v>
      </c>
      <c r="H95" s="16">
        <f t="shared" si="8"/>
        <v>4428.9344000000001</v>
      </c>
    </row>
    <row r="96" spans="1:12" s="129" customFormat="1" ht="14.25" customHeight="1">
      <c r="A96" s="122" t="s">
        <v>402</v>
      </c>
      <c r="B96" s="32" t="s">
        <v>346</v>
      </c>
      <c r="C96" s="138" t="s">
        <v>347</v>
      </c>
      <c r="D96" s="126" t="s">
        <v>341</v>
      </c>
      <c r="E96" s="15">
        <v>840.85</v>
      </c>
      <c r="F96" s="15">
        <v>1.18</v>
      </c>
      <c r="G96" s="15">
        <v>1.46</v>
      </c>
      <c r="H96" s="16">
        <f t="shared" si="8"/>
        <v>1227.6410000000001</v>
      </c>
    </row>
    <row r="97" spans="1:12" s="129" customFormat="1" ht="23.25" customHeight="1">
      <c r="A97" s="122" t="s">
        <v>403</v>
      </c>
      <c r="B97" s="32" t="s">
        <v>331</v>
      </c>
      <c r="C97" s="138" t="s">
        <v>348</v>
      </c>
      <c r="D97" s="126" t="s">
        <v>332</v>
      </c>
      <c r="E97" s="15">
        <v>7874.36</v>
      </c>
      <c r="F97" s="15">
        <v>0.47</v>
      </c>
      <c r="G97" s="15">
        <v>0.57999999999999996</v>
      </c>
      <c r="H97" s="16">
        <f t="shared" si="8"/>
        <v>4567.1287999999995</v>
      </c>
    </row>
    <row r="98" spans="1:12" s="129" customFormat="1" ht="24.75" customHeight="1">
      <c r="A98" s="122" t="s">
        <v>404</v>
      </c>
      <c r="B98" s="32" t="s">
        <v>331</v>
      </c>
      <c r="C98" s="138" t="s">
        <v>337</v>
      </c>
      <c r="D98" s="126" t="s">
        <v>332</v>
      </c>
      <c r="E98" s="15">
        <v>25942.67</v>
      </c>
      <c r="F98" s="15">
        <v>0.47</v>
      </c>
      <c r="G98" s="15">
        <v>0.57999999999999996</v>
      </c>
      <c r="H98" s="16">
        <f t="shared" si="8"/>
        <v>15046.748599999997</v>
      </c>
    </row>
    <row r="99" spans="1:12" s="129" customFormat="1" ht="12.75" customHeight="1">
      <c r="A99" s="122"/>
      <c r="B99" s="32"/>
      <c r="C99" s="138"/>
      <c r="D99" s="126"/>
      <c r="E99" s="15"/>
      <c r="F99" s="15"/>
      <c r="G99" s="15"/>
      <c r="H99" s="16"/>
    </row>
    <row r="100" spans="1:12" s="56" customFormat="1">
      <c r="A100" s="124">
        <v>11</v>
      </c>
      <c r="B100" s="35"/>
      <c r="C100" s="125" t="s">
        <v>426</v>
      </c>
      <c r="D100" s="127"/>
      <c r="E100" s="54"/>
      <c r="F100" s="54"/>
      <c r="G100" s="15">
        <f>F100*1.2614</f>
        <v>0</v>
      </c>
      <c r="H100" s="55">
        <f>SUM(H101:H107)</f>
        <v>126588.5062</v>
      </c>
    </row>
    <row r="101" spans="1:12" s="129" customFormat="1" ht="56.25" customHeight="1">
      <c r="A101" s="122" t="s">
        <v>405</v>
      </c>
      <c r="B101" s="32" t="s">
        <v>328</v>
      </c>
      <c r="C101" s="123" t="s">
        <v>333</v>
      </c>
      <c r="D101" s="130" t="s">
        <v>161</v>
      </c>
      <c r="E101" s="136">
        <v>4269.34</v>
      </c>
      <c r="F101" s="131">
        <v>1.1100000000000001</v>
      </c>
      <c r="G101" s="15">
        <v>1.37</v>
      </c>
      <c r="H101" s="16">
        <f t="shared" ref="H101:H107" si="9">E101*G101</f>
        <v>5848.9958000000006</v>
      </c>
    </row>
    <row r="102" spans="1:12" s="129" customFormat="1" ht="24.75" customHeight="1">
      <c r="A102" s="122" t="s">
        <v>406</v>
      </c>
      <c r="B102" s="32" t="s">
        <v>331</v>
      </c>
      <c r="C102" s="137" t="s">
        <v>339</v>
      </c>
      <c r="D102" s="130" t="s">
        <v>332</v>
      </c>
      <c r="E102" s="15">
        <v>2407.91</v>
      </c>
      <c r="F102" s="131">
        <v>0.47</v>
      </c>
      <c r="G102" s="15">
        <v>0.57999999999999996</v>
      </c>
      <c r="H102" s="16">
        <f t="shared" si="9"/>
        <v>1396.5877999999998</v>
      </c>
    </row>
    <row r="103" spans="1:12" s="129" customFormat="1" ht="69.75" customHeight="1">
      <c r="A103" s="122" t="s">
        <v>407</v>
      </c>
      <c r="B103" s="32" t="s">
        <v>355</v>
      </c>
      <c r="C103" s="138" t="s">
        <v>356</v>
      </c>
      <c r="D103" s="126" t="s">
        <v>299</v>
      </c>
      <c r="E103" s="15">
        <v>128.08000000000001</v>
      </c>
      <c r="F103" s="15">
        <v>594.16</v>
      </c>
      <c r="G103" s="15">
        <v>733.07</v>
      </c>
      <c r="H103" s="16">
        <f t="shared" si="9"/>
        <v>93891.60560000001</v>
      </c>
      <c r="L103" s="134"/>
    </row>
    <row r="104" spans="1:12" s="129" customFormat="1" ht="14.25" customHeight="1">
      <c r="A104" s="122" t="s">
        <v>408</v>
      </c>
      <c r="B104" s="32" t="s">
        <v>344</v>
      </c>
      <c r="C104" s="138" t="s">
        <v>345</v>
      </c>
      <c r="D104" s="126" t="s">
        <v>341</v>
      </c>
      <c r="E104" s="15">
        <v>5068.8999999999996</v>
      </c>
      <c r="F104" s="15">
        <v>0.71</v>
      </c>
      <c r="G104" s="15">
        <v>0.88</v>
      </c>
      <c r="H104" s="16">
        <f t="shared" si="9"/>
        <v>4460.6319999999996</v>
      </c>
    </row>
    <row r="105" spans="1:12" s="129" customFormat="1" ht="14.25" customHeight="1">
      <c r="A105" s="122" t="s">
        <v>409</v>
      </c>
      <c r="B105" s="32" t="s">
        <v>346</v>
      </c>
      <c r="C105" s="138" t="s">
        <v>347</v>
      </c>
      <c r="D105" s="126" t="s">
        <v>341</v>
      </c>
      <c r="E105" s="15">
        <v>846.87</v>
      </c>
      <c r="F105" s="15">
        <v>1.18</v>
      </c>
      <c r="G105" s="15">
        <v>1.46</v>
      </c>
      <c r="H105" s="16">
        <f t="shared" si="9"/>
        <v>1236.4302</v>
      </c>
    </row>
    <row r="106" spans="1:12" s="129" customFormat="1" ht="23.25" customHeight="1">
      <c r="A106" s="122" t="s">
        <v>410</v>
      </c>
      <c r="B106" s="32" t="s">
        <v>331</v>
      </c>
      <c r="C106" s="138" t="s">
        <v>348</v>
      </c>
      <c r="D106" s="126" t="s">
        <v>332</v>
      </c>
      <c r="E106" s="15">
        <v>7930.72</v>
      </c>
      <c r="F106" s="15">
        <v>0.47</v>
      </c>
      <c r="G106" s="15">
        <v>0.57999999999999996</v>
      </c>
      <c r="H106" s="16">
        <f t="shared" si="9"/>
        <v>4599.8175999999994</v>
      </c>
    </row>
    <row r="107" spans="1:12" s="129" customFormat="1" ht="24.75" customHeight="1">
      <c r="A107" s="122" t="s">
        <v>411</v>
      </c>
      <c r="B107" s="32" t="s">
        <v>331</v>
      </c>
      <c r="C107" s="138" t="s">
        <v>337</v>
      </c>
      <c r="D107" s="126" t="s">
        <v>332</v>
      </c>
      <c r="E107" s="15">
        <v>26128.34</v>
      </c>
      <c r="F107" s="15">
        <v>0.47</v>
      </c>
      <c r="G107" s="15">
        <v>0.57999999999999996</v>
      </c>
      <c r="H107" s="16">
        <f t="shared" si="9"/>
        <v>15154.437199999998</v>
      </c>
    </row>
    <row r="108" spans="1:12" s="129" customFormat="1" ht="12" customHeight="1">
      <c r="A108" s="122"/>
      <c r="B108" s="32"/>
      <c r="C108" s="138"/>
      <c r="D108" s="126"/>
      <c r="E108" s="15"/>
      <c r="F108" s="15"/>
      <c r="G108" s="15"/>
      <c r="H108" s="16"/>
    </row>
    <row r="109" spans="1:12" s="56" customFormat="1">
      <c r="A109" s="124">
        <v>12</v>
      </c>
      <c r="B109" s="35"/>
      <c r="C109" s="125" t="s">
        <v>475</v>
      </c>
      <c r="D109" s="127"/>
      <c r="E109" s="54"/>
      <c r="F109" s="54"/>
      <c r="G109" s="15">
        <f>F109*1.2614</f>
        <v>0</v>
      </c>
      <c r="H109" s="55">
        <f>SUM(H110:H116)</f>
        <v>94082.695900000006</v>
      </c>
    </row>
    <row r="110" spans="1:12" s="129" customFormat="1" ht="56.25" customHeight="1">
      <c r="A110" s="122" t="s">
        <v>412</v>
      </c>
      <c r="B110" s="32" t="s">
        <v>328</v>
      </c>
      <c r="C110" s="123" t="s">
        <v>333</v>
      </c>
      <c r="D110" s="130" t="s">
        <v>161</v>
      </c>
      <c r="E110" s="136">
        <v>3173.16</v>
      </c>
      <c r="F110" s="131">
        <v>1.1100000000000001</v>
      </c>
      <c r="G110" s="15">
        <v>1.37</v>
      </c>
      <c r="H110" s="16">
        <f t="shared" ref="H110:H116" si="10">E110*G110</f>
        <v>4347.2291999999998</v>
      </c>
    </row>
    <row r="111" spans="1:12" s="129" customFormat="1" ht="24.75" customHeight="1">
      <c r="A111" s="122" t="s">
        <v>413</v>
      </c>
      <c r="B111" s="32" t="s">
        <v>331</v>
      </c>
      <c r="C111" s="137" t="s">
        <v>339</v>
      </c>
      <c r="D111" s="130" t="s">
        <v>332</v>
      </c>
      <c r="E111" s="15">
        <v>1789.66</v>
      </c>
      <c r="F111" s="131">
        <v>0.47</v>
      </c>
      <c r="G111" s="15">
        <v>0.57999999999999996</v>
      </c>
      <c r="H111" s="16">
        <f t="shared" si="10"/>
        <v>1038.0028</v>
      </c>
    </row>
    <row r="112" spans="1:12" s="129" customFormat="1" ht="68.25" customHeight="1">
      <c r="A112" s="122" t="s">
        <v>414</v>
      </c>
      <c r="B112" s="32" t="s">
        <v>355</v>
      </c>
      <c r="C112" s="138" t="s">
        <v>356</v>
      </c>
      <c r="D112" s="126" t="s">
        <v>299</v>
      </c>
      <c r="E112" s="15">
        <v>95.19</v>
      </c>
      <c r="F112" s="15">
        <v>594.16</v>
      </c>
      <c r="G112" s="15">
        <v>733.07</v>
      </c>
      <c r="H112" s="16">
        <f t="shared" si="10"/>
        <v>69780.933300000004</v>
      </c>
      <c r="L112" s="134"/>
    </row>
    <row r="113" spans="1:12" s="129" customFormat="1" ht="14.25" customHeight="1">
      <c r="A113" s="122" t="s">
        <v>415</v>
      </c>
      <c r="B113" s="32" t="s">
        <v>344</v>
      </c>
      <c r="C113" s="138" t="s">
        <v>345</v>
      </c>
      <c r="D113" s="126" t="s">
        <v>341</v>
      </c>
      <c r="E113" s="15">
        <v>3767.43</v>
      </c>
      <c r="F113" s="15">
        <v>0.71</v>
      </c>
      <c r="G113" s="15">
        <v>0.88</v>
      </c>
      <c r="H113" s="16">
        <f t="shared" si="10"/>
        <v>3315.3384000000001</v>
      </c>
    </row>
    <row r="114" spans="1:12" s="129" customFormat="1" ht="14.25" customHeight="1">
      <c r="A114" s="122" t="s">
        <v>416</v>
      </c>
      <c r="B114" s="32" t="s">
        <v>346</v>
      </c>
      <c r="C114" s="138" t="s">
        <v>347</v>
      </c>
      <c r="D114" s="126" t="s">
        <v>341</v>
      </c>
      <c r="E114" s="15">
        <v>629.42999999999995</v>
      </c>
      <c r="F114" s="15">
        <v>1.18</v>
      </c>
      <c r="G114" s="15">
        <v>1.46</v>
      </c>
      <c r="H114" s="16">
        <f t="shared" si="10"/>
        <v>918.9677999999999</v>
      </c>
    </row>
    <row r="115" spans="1:12" s="129" customFormat="1" ht="23.25" customHeight="1">
      <c r="A115" s="122" t="s">
        <v>417</v>
      </c>
      <c r="B115" s="32" t="s">
        <v>331</v>
      </c>
      <c r="C115" s="138" t="s">
        <v>348</v>
      </c>
      <c r="D115" s="126" t="s">
        <v>332</v>
      </c>
      <c r="E115" s="15">
        <v>5894.46</v>
      </c>
      <c r="F115" s="15">
        <v>0.47</v>
      </c>
      <c r="G115" s="15">
        <v>0.57999999999999996</v>
      </c>
      <c r="H115" s="16">
        <f t="shared" si="10"/>
        <v>3418.7867999999999</v>
      </c>
    </row>
    <row r="116" spans="1:12" s="129" customFormat="1" ht="24.75" customHeight="1">
      <c r="A116" s="122" t="s">
        <v>418</v>
      </c>
      <c r="B116" s="32" t="s">
        <v>331</v>
      </c>
      <c r="C116" s="138" t="s">
        <v>337</v>
      </c>
      <c r="D116" s="126" t="s">
        <v>332</v>
      </c>
      <c r="E116" s="15">
        <v>19419.72</v>
      </c>
      <c r="F116" s="15">
        <v>0.47</v>
      </c>
      <c r="G116" s="15">
        <v>0.57999999999999996</v>
      </c>
      <c r="H116" s="16">
        <f t="shared" si="10"/>
        <v>11263.437599999999</v>
      </c>
    </row>
    <row r="117" spans="1:12" s="129" customFormat="1" ht="12" customHeight="1">
      <c r="A117" s="122"/>
      <c r="B117" s="32"/>
      <c r="C117" s="138"/>
      <c r="D117" s="126"/>
      <c r="E117" s="15"/>
      <c r="F117" s="15"/>
      <c r="G117" s="15"/>
      <c r="H117" s="16"/>
    </row>
    <row r="118" spans="1:12" s="56" customFormat="1">
      <c r="A118" s="124">
        <v>13</v>
      </c>
      <c r="B118" s="35"/>
      <c r="C118" s="125" t="s">
        <v>428</v>
      </c>
      <c r="D118" s="127"/>
      <c r="E118" s="54"/>
      <c r="F118" s="54"/>
      <c r="G118" s="15">
        <f>F118*1.2614</f>
        <v>0</v>
      </c>
      <c r="H118" s="55">
        <f>SUM(H119:H125)</f>
        <v>145871.5686</v>
      </c>
    </row>
    <row r="119" spans="1:12" s="129" customFormat="1" ht="56.25" customHeight="1">
      <c r="A119" s="122" t="s">
        <v>429</v>
      </c>
      <c r="B119" s="32" t="s">
        <v>328</v>
      </c>
      <c r="C119" s="123" t="s">
        <v>333</v>
      </c>
      <c r="D119" s="130" t="s">
        <v>161</v>
      </c>
      <c r="E119" s="136">
        <v>4919.71</v>
      </c>
      <c r="F119" s="131">
        <v>1.1100000000000001</v>
      </c>
      <c r="G119" s="15">
        <v>1.37</v>
      </c>
      <c r="H119" s="16">
        <f t="shared" ref="H119:H125" si="11">E119*G119</f>
        <v>6740.0027000000009</v>
      </c>
    </row>
    <row r="120" spans="1:12" s="129" customFormat="1" ht="24.75" customHeight="1">
      <c r="A120" s="122" t="s">
        <v>430</v>
      </c>
      <c r="B120" s="32" t="s">
        <v>331</v>
      </c>
      <c r="C120" s="137" t="s">
        <v>339</v>
      </c>
      <c r="D120" s="130" t="s">
        <v>332</v>
      </c>
      <c r="E120" s="15">
        <v>2774.71</v>
      </c>
      <c r="F120" s="131">
        <v>0.47</v>
      </c>
      <c r="G120" s="15">
        <v>0.57999999999999996</v>
      </c>
      <c r="H120" s="16">
        <f t="shared" si="11"/>
        <v>1609.3317999999999</v>
      </c>
    </row>
    <row r="121" spans="1:12" s="129" customFormat="1" ht="68.25" customHeight="1">
      <c r="A121" s="122" t="s">
        <v>431</v>
      </c>
      <c r="B121" s="32" t="s">
        <v>355</v>
      </c>
      <c r="C121" s="138" t="s">
        <v>356</v>
      </c>
      <c r="D121" s="126" t="s">
        <v>299</v>
      </c>
      <c r="E121" s="15">
        <v>147.59</v>
      </c>
      <c r="F121" s="15">
        <v>594.16</v>
      </c>
      <c r="G121" s="15">
        <v>733.07</v>
      </c>
      <c r="H121" s="16">
        <f t="shared" si="11"/>
        <v>108193.80130000001</v>
      </c>
      <c r="L121" s="134"/>
    </row>
    <row r="122" spans="1:12" s="129" customFormat="1" ht="14.25" customHeight="1">
      <c r="A122" s="122" t="s">
        <v>432</v>
      </c>
      <c r="B122" s="32" t="s">
        <v>344</v>
      </c>
      <c r="C122" s="138" t="s">
        <v>345</v>
      </c>
      <c r="D122" s="126" t="s">
        <v>341</v>
      </c>
      <c r="E122" s="15">
        <v>5841.07</v>
      </c>
      <c r="F122" s="15">
        <v>0.71</v>
      </c>
      <c r="G122" s="15">
        <v>0.88</v>
      </c>
      <c r="H122" s="16">
        <f t="shared" si="11"/>
        <v>5140.1415999999999</v>
      </c>
    </row>
    <row r="123" spans="1:12" s="129" customFormat="1" ht="14.25" customHeight="1">
      <c r="A123" s="122" t="s">
        <v>433</v>
      </c>
      <c r="B123" s="32" t="s">
        <v>346</v>
      </c>
      <c r="C123" s="138" t="s">
        <v>347</v>
      </c>
      <c r="D123" s="126" t="s">
        <v>341</v>
      </c>
      <c r="E123" s="15">
        <v>975.87</v>
      </c>
      <c r="F123" s="15">
        <v>1.18</v>
      </c>
      <c r="G123" s="15">
        <v>1.46</v>
      </c>
      <c r="H123" s="16">
        <f t="shared" si="11"/>
        <v>1424.7701999999999</v>
      </c>
    </row>
    <row r="124" spans="1:12" s="129" customFormat="1" ht="23.25" customHeight="1">
      <c r="A124" s="122" t="s">
        <v>434</v>
      </c>
      <c r="B124" s="32" t="s">
        <v>331</v>
      </c>
      <c r="C124" s="138" t="s">
        <v>348</v>
      </c>
      <c r="D124" s="126" t="s">
        <v>332</v>
      </c>
      <c r="E124" s="15">
        <v>9138.85</v>
      </c>
      <c r="F124" s="15">
        <v>0.47</v>
      </c>
      <c r="G124" s="15">
        <v>0.57999999999999996</v>
      </c>
      <c r="H124" s="16">
        <f t="shared" si="11"/>
        <v>5300.5329999999994</v>
      </c>
    </row>
    <row r="125" spans="1:12" s="129" customFormat="1" ht="24.75" customHeight="1">
      <c r="A125" s="122" t="s">
        <v>435</v>
      </c>
      <c r="B125" s="32" t="s">
        <v>331</v>
      </c>
      <c r="C125" s="138" t="s">
        <v>337</v>
      </c>
      <c r="D125" s="126" t="s">
        <v>332</v>
      </c>
      <c r="E125" s="15">
        <v>30108.6</v>
      </c>
      <c r="F125" s="15">
        <v>0.47</v>
      </c>
      <c r="G125" s="15">
        <v>0.57999999999999996</v>
      </c>
      <c r="H125" s="16">
        <f t="shared" si="11"/>
        <v>17462.987999999998</v>
      </c>
    </row>
    <row r="126" spans="1:12" ht="13.5" customHeight="1" thickBot="1">
      <c r="A126" s="39"/>
      <c r="B126" s="40"/>
      <c r="C126" s="41"/>
      <c r="D126" s="20"/>
      <c r="E126" s="21"/>
      <c r="F126" s="18"/>
      <c r="G126" s="18"/>
      <c r="H126" s="19"/>
    </row>
    <row r="127" spans="1:12" ht="15.75" customHeight="1" thickBot="1">
      <c r="A127" s="258" t="s">
        <v>24</v>
      </c>
      <c r="B127" s="259"/>
      <c r="C127" s="259"/>
      <c r="D127" s="259"/>
      <c r="E127" s="259"/>
      <c r="F127" s="259"/>
      <c r="G127" s="259"/>
      <c r="H127" s="42">
        <f>SUM(H118+H109+H100+H91+H82+H73+H64+H55+H46+H37+H28+H19+H12)</f>
        <v>1189692.717921</v>
      </c>
      <c r="J127" s="61">
        <v>114842.08</v>
      </c>
      <c r="L127" s="24"/>
    </row>
    <row r="128" spans="1:12" ht="14.25" hidden="1" customHeight="1" thickBot="1">
      <c r="A128" s="258" t="s">
        <v>323</v>
      </c>
      <c r="B128" s="259"/>
      <c r="C128" s="259"/>
      <c r="D128" s="259"/>
      <c r="E128" s="259"/>
      <c r="F128" s="259"/>
      <c r="G128" s="259"/>
      <c r="H128" s="42">
        <v>114842.08</v>
      </c>
      <c r="J128" s="61">
        <f>J127-H127</f>
        <v>-1074850.6379209999</v>
      </c>
    </row>
    <row r="129" spans="1:8" ht="11.25" customHeight="1">
      <c r="A129" s="139"/>
      <c r="B129" s="139"/>
      <c r="C129" s="139"/>
      <c r="D129" s="139"/>
      <c r="E129" s="139"/>
      <c r="F129" s="139"/>
      <c r="G129" s="139"/>
      <c r="H129" s="139"/>
    </row>
    <row r="130" spans="1:8" ht="11.25" customHeight="1">
      <c r="A130" s="139"/>
      <c r="B130" s="139"/>
      <c r="C130" s="139"/>
      <c r="D130" s="139"/>
      <c r="E130" s="139"/>
      <c r="F130" s="139"/>
      <c r="G130" s="139"/>
      <c r="H130" s="139"/>
    </row>
    <row r="131" spans="1:8" ht="11.25" customHeight="1">
      <c r="A131" s="139"/>
      <c r="B131" s="276"/>
      <c r="C131" s="276"/>
      <c r="D131" s="139"/>
      <c r="E131" s="276" t="s">
        <v>353</v>
      </c>
      <c r="F131" s="276"/>
      <c r="G131" s="140"/>
      <c r="H131" s="139"/>
    </row>
    <row r="132" spans="1:8">
      <c r="A132" s="6"/>
      <c r="B132" s="247" t="s">
        <v>351</v>
      </c>
      <c r="C132" s="247"/>
      <c r="D132" s="6"/>
      <c r="E132" s="248" t="s">
        <v>352</v>
      </c>
      <c r="F132" s="248"/>
      <c r="G132" s="9"/>
      <c r="H132" s="6"/>
    </row>
    <row r="133" spans="1:8">
      <c r="A133" s="129"/>
      <c r="B133" s="129"/>
      <c r="C133" s="129"/>
      <c r="D133" s="129"/>
      <c r="E133" s="129"/>
      <c r="F133" s="129"/>
      <c r="G133" s="129"/>
      <c r="H133" s="129"/>
    </row>
    <row r="134" spans="1:8">
      <c r="A134" s="129"/>
      <c r="B134" s="129"/>
      <c r="C134" s="129"/>
      <c r="D134" s="129"/>
      <c r="E134" s="129"/>
      <c r="F134" s="129"/>
      <c r="G134" s="129"/>
      <c r="H134" s="129"/>
    </row>
    <row r="135" spans="1:8" ht="11.25" customHeight="1">
      <c r="A135" s="139"/>
      <c r="B135" s="276"/>
      <c r="C135" s="276"/>
      <c r="D135" s="139"/>
      <c r="E135" s="277"/>
      <c r="F135" s="277"/>
      <c r="G135" s="140"/>
      <c r="H135" s="139"/>
    </row>
    <row r="136" spans="1:8">
      <c r="A136" s="6"/>
      <c r="B136" s="247" t="s">
        <v>336</v>
      </c>
      <c r="C136" s="247"/>
      <c r="D136" s="6"/>
      <c r="E136" s="248"/>
      <c r="F136" s="248"/>
      <c r="G136" s="9"/>
      <c r="H136" s="6"/>
    </row>
    <row r="137" spans="1:8" ht="12" customHeight="1"/>
    <row r="138" spans="1:8" ht="11.25" customHeight="1"/>
    <row r="139" spans="1:8" ht="12" customHeight="1"/>
    <row r="140" spans="1:8" ht="14.1" customHeight="1"/>
    <row r="141" spans="1:8" ht="4.5" customHeight="1"/>
  </sheetData>
  <mergeCells count="23">
    <mergeCell ref="B136:C136"/>
    <mergeCell ref="E136:F136"/>
    <mergeCell ref="A128:G128"/>
    <mergeCell ref="A10:H10"/>
    <mergeCell ref="A127:G127"/>
    <mergeCell ref="B135:C135"/>
    <mergeCell ref="E135:F135"/>
    <mergeCell ref="A5:H5"/>
    <mergeCell ref="E6:H6"/>
    <mergeCell ref="B131:C131"/>
    <mergeCell ref="E132:F132"/>
    <mergeCell ref="B132:C132"/>
    <mergeCell ref="A9:D9"/>
    <mergeCell ref="F8:F9"/>
    <mergeCell ref="A8:D8"/>
    <mergeCell ref="E8:E9"/>
    <mergeCell ref="A1:B1"/>
    <mergeCell ref="C1:H1"/>
    <mergeCell ref="A2:H2"/>
    <mergeCell ref="A3:H3"/>
    <mergeCell ref="E131:F131"/>
    <mergeCell ref="A7:D7"/>
    <mergeCell ref="E7:H7"/>
  </mergeCells>
  <phoneticPr fontId="15" type="noConversion"/>
  <printOptions horizontalCentered="1"/>
  <pageMargins left="0.39370078740157483" right="0.39370078740157483" top="0.39370078740157483" bottom="0.39370078740157483" header="0" footer="0"/>
  <pageSetup paperSize="9" orientation="landscape" r:id="rId1"/>
  <headerFooter alignWithMargins="0">
    <oddHeader>&amp;R
 &amp;P de &amp;N</oddHeader>
  </headerFooter>
  <drawing r:id="rId2"/>
  <legacyDrawing r:id="rId3"/>
  <oleObjects>
    <oleObject progId="CorelDRAW.Graphic.10" shapeId="13428" r:id="rId4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6">
    <tabColor rgb="FFFFC000"/>
  </sheetPr>
  <dimension ref="A1:K55"/>
  <sheetViews>
    <sheetView showGridLines="0" showZeros="0" view="pageBreakPreview" zoomScaleNormal="75" zoomScaleSheetLayoutView="100" workbookViewId="0">
      <selection activeCell="F26" sqref="F26"/>
    </sheetView>
  </sheetViews>
  <sheetFormatPr defaultRowHeight="12.75"/>
  <cols>
    <col min="1" max="1" width="10.5703125" style="44" customWidth="1"/>
    <col min="2" max="2" width="51" style="44" customWidth="1"/>
    <col min="3" max="3" width="14.42578125" style="45" customWidth="1"/>
    <col min="4" max="4" width="14.7109375" style="45" customWidth="1"/>
    <col min="5" max="10" width="12.5703125" style="44" customWidth="1"/>
    <col min="11" max="11" width="16.140625" style="44" customWidth="1"/>
    <col min="12" max="16384" width="9.140625" style="44"/>
  </cols>
  <sheetData>
    <row r="1" spans="1:11" customFormat="1" ht="69.75" customHeight="1" thickBot="1">
      <c r="A1" s="285"/>
      <c r="B1" s="286"/>
      <c r="C1" s="286"/>
      <c r="D1" s="286"/>
      <c r="E1" s="286"/>
      <c r="F1" s="286"/>
      <c r="G1" s="286"/>
      <c r="H1" s="286"/>
      <c r="I1" s="286"/>
      <c r="J1" s="287"/>
    </row>
    <row r="2" spans="1:11" ht="8.25" customHeight="1" thickBot="1">
      <c r="A2" s="288"/>
      <c r="B2" s="289"/>
      <c r="C2" s="289"/>
      <c r="D2" s="289"/>
      <c r="E2" s="289"/>
      <c r="F2" s="289"/>
      <c r="G2" s="289"/>
      <c r="H2" s="289"/>
      <c r="I2" s="289"/>
      <c r="J2" s="290"/>
    </row>
    <row r="3" spans="1:11" ht="18" customHeight="1">
      <c r="A3" s="291" t="s">
        <v>27</v>
      </c>
      <c r="B3" s="292"/>
      <c r="C3" s="292"/>
      <c r="D3" s="292"/>
      <c r="E3" s="292"/>
      <c r="F3" s="292"/>
      <c r="G3" s="292"/>
      <c r="H3" s="292"/>
      <c r="I3" s="292"/>
      <c r="J3" s="293"/>
    </row>
    <row r="4" spans="1:11" ht="15.75" customHeight="1">
      <c r="A4" s="307" t="str">
        <f>Planilha!A5</f>
        <v>PROPONENTE: Prefeitura Municipal de Coração de Jesus</v>
      </c>
      <c r="B4" s="294"/>
      <c r="C4" s="308" t="s">
        <v>476</v>
      </c>
      <c r="D4" s="309"/>
      <c r="E4" s="310">
        <f>Planilha!H127</f>
        <v>1189692.717921</v>
      </c>
      <c r="F4" s="310"/>
      <c r="G4" s="294" t="str">
        <f>Planilha!E6</f>
        <v>DATA: 02/09/2019</v>
      </c>
      <c r="H4" s="294"/>
      <c r="I4" s="294"/>
      <c r="J4" s="295"/>
    </row>
    <row r="5" spans="1:11" ht="15.75" customHeight="1">
      <c r="A5" s="306" t="str">
        <f>Planilha!A6</f>
        <v>OBRA: Recapeamento Asfáltico em CBUQ</v>
      </c>
      <c r="B5" s="305"/>
      <c r="C5" s="305" t="str">
        <f>Planilha!A7</f>
        <v>LOCAL: Logradouros do Município</v>
      </c>
      <c r="D5" s="305"/>
      <c r="E5" s="305"/>
      <c r="F5" s="305"/>
      <c r="G5" s="294" t="str">
        <f>Planilha!A9</f>
        <v>PRAZO DE EXECUÇÃO: 06 Meses</v>
      </c>
      <c r="H5" s="294"/>
      <c r="I5" s="294"/>
      <c r="J5" s="295"/>
    </row>
    <row r="6" spans="1:11" ht="28.5" customHeight="1">
      <c r="A6" s="194" t="s">
        <v>0</v>
      </c>
      <c r="B6" s="184" t="s">
        <v>28</v>
      </c>
      <c r="C6" s="185" t="s">
        <v>29</v>
      </c>
      <c r="D6" s="185" t="s">
        <v>30</v>
      </c>
      <c r="E6" s="184" t="s">
        <v>31</v>
      </c>
      <c r="F6" s="184" t="s">
        <v>32</v>
      </c>
      <c r="G6" s="184" t="s">
        <v>33</v>
      </c>
      <c r="H6" s="184" t="s">
        <v>34</v>
      </c>
      <c r="I6" s="184" t="s">
        <v>35</v>
      </c>
      <c r="J6" s="195" t="s">
        <v>473</v>
      </c>
    </row>
    <row r="7" spans="1:11" ht="14.25" customHeight="1">
      <c r="A7" s="300">
        <v>1</v>
      </c>
      <c r="B7" s="301" t="str">
        <f>Planilha!C12</f>
        <v>SERVIÇOS PRELIMINARES</v>
      </c>
      <c r="C7" s="186" t="s">
        <v>36</v>
      </c>
      <c r="D7" s="188">
        <f>D8/D52</f>
        <v>9.9009900990099028E-3</v>
      </c>
      <c r="E7" s="188">
        <v>0.16</v>
      </c>
      <c r="F7" s="188">
        <v>0.16</v>
      </c>
      <c r="G7" s="188">
        <v>0.17</v>
      </c>
      <c r="H7" s="189">
        <v>0.17</v>
      </c>
      <c r="I7" s="188">
        <v>0.17</v>
      </c>
      <c r="J7" s="196">
        <v>0.17</v>
      </c>
      <c r="K7" s="201"/>
    </row>
    <row r="8" spans="1:11" ht="14.25" customHeight="1">
      <c r="A8" s="300"/>
      <c r="B8" s="301"/>
      <c r="C8" s="186" t="s">
        <v>37</v>
      </c>
      <c r="D8" s="190">
        <f>Planilha!H12</f>
        <v>11779.135821000002</v>
      </c>
      <c r="E8" s="190">
        <f>E7*$D$8</f>
        <v>1884.6617313600002</v>
      </c>
      <c r="F8" s="190">
        <f>F7*$D$8</f>
        <v>1884.6617313600002</v>
      </c>
      <c r="G8" s="190">
        <f>G7*$D$8</f>
        <v>2002.4530895700004</v>
      </c>
      <c r="H8" s="190">
        <f>D8*H7</f>
        <v>2002.4530895700004</v>
      </c>
      <c r="I8" s="190">
        <f>I7*$D$8</f>
        <v>2002.4530895700004</v>
      </c>
      <c r="J8" s="197">
        <f>J7*$D$8</f>
        <v>2002.4530895700004</v>
      </c>
      <c r="K8" s="203"/>
    </row>
    <row r="9" spans="1:11" ht="14.25" customHeight="1">
      <c r="A9" s="300">
        <v>2</v>
      </c>
      <c r="B9" s="299" t="s">
        <v>419</v>
      </c>
      <c r="C9" s="186" t="s">
        <v>36</v>
      </c>
      <c r="D9" s="188">
        <f>D10/D52</f>
        <v>1.1789347021061082E-2</v>
      </c>
      <c r="E9" s="188"/>
      <c r="F9" s="188"/>
      <c r="G9" s="188">
        <v>1</v>
      </c>
      <c r="H9" s="189"/>
      <c r="I9" s="188"/>
      <c r="J9" s="196"/>
    </row>
    <row r="10" spans="1:11" ht="14.25" customHeight="1">
      <c r="A10" s="300"/>
      <c r="B10" s="299"/>
      <c r="C10" s="186" t="s">
        <v>37</v>
      </c>
      <c r="D10" s="190">
        <f>Planilha!H19</f>
        <v>14025.700300000002</v>
      </c>
      <c r="E10" s="190"/>
      <c r="F10" s="190"/>
      <c r="G10" s="190">
        <f>G9*D10</f>
        <v>14025.700300000002</v>
      </c>
      <c r="H10" s="190"/>
      <c r="I10" s="190">
        <f>I9*$D$10</f>
        <v>0</v>
      </c>
      <c r="J10" s="197">
        <f>J9*$D$10</f>
        <v>0</v>
      </c>
    </row>
    <row r="11" spans="1:11" ht="14.25" customHeight="1">
      <c r="A11" s="300">
        <v>3</v>
      </c>
      <c r="B11" s="296" t="s">
        <v>420</v>
      </c>
      <c r="C11" s="186" t="s">
        <v>36</v>
      </c>
      <c r="D11" s="188">
        <f>D12/D52</f>
        <v>6.3188890767836015E-2</v>
      </c>
      <c r="E11" s="188"/>
      <c r="F11" s="188">
        <v>1</v>
      </c>
      <c r="G11" s="188"/>
      <c r="H11" s="189"/>
      <c r="I11" s="188"/>
      <c r="J11" s="196"/>
    </row>
    <row r="12" spans="1:11" ht="14.25" customHeight="1">
      <c r="A12" s="300"/>
      <c r="B12" s="296"/>
      <c r="C12" s="186" t="s">
        <v>37</v>
      </c>
      <c r="D12" s="190">
        <f>Planilha!H28</f>
        <v>75175.363200000007</v>
      </c>
      <c r="E12" s="190"/>
      <c r="F12" s="190">
        <f>F11*D12</f>
        <v>75175.363200000007</v>
      </c>
      <c r="G12" s="190"/>
      <c r="H12" s="190"/>
      <c r="I12" s="190">
        <f>I11*$D$12</f>
        <v>0</v>
      </c>
      <c r="J12" s="197">
        <f>J11*$D$12</f>
        <v>0</v>
      </c>
    </row>
    <row r="13" spans="1:11" ht="14.25" hidden="1" customHeight="1">
      <c r="A13" s="300"/>
      <c r="B13" s="191" t="s">
        <v>422</v>
      </c>
      <c r="C13" s="186"/>
      <c r="D13" s="188"/>
      <c r="E13" s="188"/>
      <c r="F13" s="188"/>
      <c r="G13" s="188"/>
      <c r="H13" s="189"/>
      <c r="I13" s="188"/>
      <c r="J13" s="196"/>
    </row>
    <row r="14" spans="1:11" ht="14.25" hidden="1" customHeight="1">
      <c r="A14" s="300"/>
      <c r="B14" s="191" t="s">
        <v>423</v>
      </c>
      <c r="C14" s="186"/>
      <c r="D14" s="190"/>
      <c r="E14" s="190"/>
      <c r="F14" s="190"/>
      <c r="G14" s="190"/>
      <c r="H14" s="190"/>
      <c r="I14" s="190">
        <f>I13*$D$14</f>
        <v>0</v>
      </c>
      <c r="J14" s="197">
        <f>J13*$D$14</f>
        <v>0</v>
      </c>
    </row>
    <row r="15" spans="1:11" ht="14.25" hidden="1" customHeight="1">
      <c r="A15" s="300"/>
      <c r="B15" s="192" t="s">
        <v>424</v>
      </c>
      <c r="C15" s="186"/>
      <c r="D15" s="188"/>
      <c r="E15" s="188"/>
      <c r="F15" s="188"/>
      <c r="G15" s="188"/>
      <c r="H15" s="189"/>
      <c r="I15" s="188"/>
      <c r="J15" s="196"/>
    </row>
    <row r="16" spans="1:11" ht="14.25" hidden="1" customHeight="1">
      <c r="A16" s="300"/>
      <c r="B16" s="191" t="s">
        <v>447</v>
      </c>
      <c r="C16" s="186"/>
      <c r="D16" s="190"/>
      <c r="E16" s="190"/>
      <c r="F16" s="190"/>
      <c r="G16" s="190"/>
      <c r="H16" s="190"/>
      <c r="I16" s="190">
        <f>I15*$D$16</f>
        <v>0</v>
      </c>
      <c r="J16" s="197">
        <f>J15*$D$16</f>
        <v>0</v>
      </c>
    </row>
    <row r="17" spans="1:10" ht="14.25" hidden="1" customHeight="1">
      <c r="A17" s="300"/>
      <c r="B17" s="191" t="s">
        <v>427</v>
      </c>
      <c r="C17" s="186"/>
      <c r="D17" s="188"/>
      <c r="E17" s="188"/>
      <c r="F17" s="188"/>
      <c r="G17" s="188"/>
      <c r="H17" s="189"/>
      <c r="I17" s="188"/>
      <c r="J17" s="196"/>
    </row>
    <row r="18" spans="1:10" ht="14.25" hidden="1" customHeight="1">
      <c r="A18" s="300"/>
      <c r="B18" s="191" t="s">
        <v>426</v>
      </c>
      <c r="C18" s="186"/>
      <c r="D18" s="190"/>
      <c r="E18" s="190"/>
      <c r="F18" s="190"/>
      <c r="G18" s="190"/>
      <c r="H18" s="190"/>
      <c r="I18" s="190">
        <f>I17*$D$18</f>
        <v>0</v>
      </c>
      <c r="J18" s="197">
        <f>J17*$D$18</f>
        <v>0</v>
      </c>
    </row>
    <row r="19" spans="1:10" ht="14.25" hidden="1" customHeight="1">
      <c r="A19" s="300"/>
      <c r="B19" s="191" t="s">
        <v>448</v>
      </c>
      <c r="C19" s="186"/>
      <c r="D19" s="188"/>
      <c r="E19" s="188"/>
      <c r="F19" s="188"/>
      <c r="G19" s="188"/>
      <c r="H19" s="189"/>
      <c r="I19" s="188"/>
      <c r="J19" s="196"/>
    </row>
    <row r="20" spans="1:10" ht="14.25" hidden="1" customHeight="1">
      <c r="A20" s="300"/>
      <c r="B20" s="191" t="s">
        <v>428</v>
      </c>
      <c r="C20" s="186"/>
      <c r="D20" s="190"/>
      <c r="E20" s="190"/>
      <c r="F20" s="190"/>
      <c r="G20" s="190"/>
      <c r="H20" s="190"/>
      <c r="I20" s="190">
        <f>I19*$D$20</f>
        <v>0</v>
      </c>
      <c r="J20" s="197">
        <f>J19*$D$20</f>
        <v>0</v>
      </c>
    </row>
    <row r="21" spans="1:10" ht="14.25" customHeight="1">
      <c r="A21" s="300">
        <v>4</v>
      </c>
      <c r="B21" s="296" t="s">
        <v>421</v>
      </c>
      <c r="C21" s="186" t="s">
        <v>36</v>
      </c>
      <c r="D21" s="188">
        <f>D22/D52</f>
        <v>9.0054122956407204E-2</v>
      </c>
      <c r="E21" s="188"/>
      <c r="F21" s="188"/>
      <c r="G21" s="188">
        <v>1</v>
      </c>
      <c r="H21" s="189"/>
      <c r="I21" s="188"/>
      <c r="J21" s="196"/>
    </row>
    <row r="22" spans="1:10" ht="14.25" customHeight="1">
      <c r="A22" s="300"/>
      <c r="B22" s="296"/>
      <c r="C22" s="186" t="s">
        <v>37</v>
      </c>
      <c r="D22" s="190">
        <f>Planilha!H37</f>
        <v>107136.73430000001</v>
      </c>
      <c r="E22" s="190"/>
      <c r="F22" s="190"/>
      <c r="G22" s="190">
        <f>G21*D22</f>
        <v>107136.73430000001</v>
      </c>
      <c r="H22" s="190"/>
      <c r="I22" s="190">
        <f>I21*$D$22</f>
        <v>0</v>
      </c>
      <c r="J22" s="197">
        <f>J21*$D$22</f>
        <v>0</v>
      </c>
    </row>
    <row r="23" spans="1:10" ht="14.25" customHeight="1">
      <c r="A23" s="297">
        <v>5</v>
      </c>
      <c r="B23" s="296" t="s">
        <v>446</v>
      </c>
      <c r="C23" s="186" t="s">
        <v>36</v>
      </c>
      <c r="D23" s="188">
        <f>D24/$D$52</f>
        <v>9.3270512989193879E-2</v>
      </c>
      <c r="E23" s="188"/>
      <c r="F23" s="188"/>
      <c r="G23" s="188"/>
      <c r="H23" s="189"/>
      <c r="I23" s="188">
        <v>1</v>
      </c>
      <c r="J23" s="196"/>
    </row>
    <row r="24" spans="1:10" ht="14.25" customHeight="1">
      <c r="A24" s="297"/>
      <c r="B24" s="296"/>
      <c r="C24" s="186" t="s">
        <v>37</v>
      </c>
      <c r="D24" s="190">
        <f>Planilha!H46</f>
        <v>110963.2501</v>
      </c>
      <c r="E24" s="190">
        <f t="shared" ref="E24:J24" si="0">E23*$D$24</f>
        <v>0</v>
      </c>
      <c r="F24" s="190">
        <f t="shared" si="0"/>
        <v>0</v>
      </c>
      <c r="G24" s="190">
        <f t="shared" si="0"/>
        <v>0</v>
      </c>
      <c r="H24" s="190">
        <f t="shared" si="0"/>
        <v>0</v>
      </c>
      <c r="I24" s="190">
        <f t="shared" si="0"/>
        <v>110963.2501</v>
      </c>
      <c r="J24" s="197">
        <f t="shared" si="0"/>
        <v>0</v>
      </c>
    </row>
    <row r="25" spans="1:10" ht="14.25" customHeight="1">
      <c r="A25" s="297">
        <v>6</v>
      </c>
      <c r="B25" s="296" t="s">
        <v>422</v>
      </c>
      <c r="C25" s="186" t="s">
        <v>36</v>
      </c>
      <c r="D25" s="188">
        <f>D26/D52</f>
        <v>0.10646206553347207</v>
      </c>
      <c r="E25" s="188"/>
      <c r="F25" s="188"/>
      <c r="G25" s="188"/>
      <c r="H25" s="189"/>
      <c r="I25" s="188"/>
      <c r="J25" s="196">
        <v>1</v>
      </c>
    </row>
    <row r="26" spans="1:10" ht="14.25" customHeight="1">
      <c r="A26" s="297"/>
      <c r="B26" s="296"/>
      <c r="C26" s="186" t="s">
        <v>37</v>
      </c>
      <c r="D26" s="190">
        <f>Planilha!H55</f>
        <v>126657.1441</v>
      </c>
      <c r="E26" s="190">
        <f t="shared" ref="E26:J26" si="1">E25*$D$26</f>
        <v>0</v>
      </c>
      <c r="F26" s="190">
        <f t="shared" si="1"/>
        <v>0</v>
      </c>
      <c r="G26" s="190">
        <f t="shared" si="1"/>
        <v>0</v>
      </c>
      <c r="H26" s="190">
        <f t="shared" si="1"/>
        <v>0</v>
      </c>
      <c r="I26" s="190">
        <f t="shared" si="1"/>
        <v>0</v>
      </c>
      <c r="J26" s="197">
        <f t="shared" si="1"/>
        <v>126657.1441</v>
      </c>
    </row>
    <row r="27" spans="1:10" ht="14.25" customHeight="1">
      <c r="A27" s="298" t="s">
        <v>471</v>
      </c>
      <c r="B27" s="296" t="s">
        <v>423</v>
      </c>
      <c r="C27" s="186" t="s">
        <v>36</v>
      </c>
      <c r="D27" s="188">
        <f>D28/D52</f>
        <v>3.5141926541384629E-2</v>
      </c>
      <c r="E27" s="188"/>
      <c r="F27" s="188"/>
      <c r="G27" s="188"/>
      <c r="H27" s="189">
        <v>1</v>
      </c>
      <c r="I27" s="188"/>
      <c r="J27" s="196"/>
    </row>
    <row r="28" spans="1:10" ht="14.25" customHeight="1">
      <c r="A28" s="298"/>
      <c r="B28" s="296"/>
      <c r="C28" s="186" t="s">
        <v>37</v>
      </c>
      <c r="D28" s="190">
        <f>Planilha!H64</f>
        <v>41808.094100000002</v>
      </c>
      <c r="E28" s="190">
        <f t="shared" ref="E28:J28" si="2">E27*$D$28</f>
        <v>0</v>
      </c>
      <c r="F28" s="190">
        <f t="shared" si="2"/>
        <v>0</v>
      </c>
      <c r="G28" s="190">
        <f t="shared" si="2"/>
        <v>0</v>
      </c>
      <c r="H28" s="190">
        <f t="shared" si="2"/>
        <v>41808.094100000002</v>
      </c>
      <c r="I28" s="190">
        <f t="shared" si="2"/>
        <v>0</v>
      </c>
      <c r="J28" s="197">
        <f t="shared" si="2"/>
        <v>0</v>
      </c>
    </row>
    <row r="29" spans="1:10" ht="14.25" hidden="1" customHeight="1">
      <c r="A29" s="297"/>
      <c r="B29" s="191" t="s">
        <v>427</v>
      </c>
      <c r="C29" s="186" t="s">
        <v>36</v>
      </c>
      <c r="D29" s="188">
        <f>D30/$D$52</f>
        <v>0</v>
      </c>
      <c r="E29" s="188"/>
      <c r="F29" s="188"/>
      <c r="G29" s="188"/>
      <c r="H29" s="189"/>
      <c r="I29" s="188"/>
      <c r="J29" s="196"/>
    </row>
    <row r="30" spans="1:10" ht="14.25" hidden="1" customHeight="1">
      <c r="A30" s="297"/>
      <c r="B30" s="191" t="s">
        <v>426</v>
      </c>
      <c r="C30" s="186" t="s">
        <v>37</v>
      </c>
      <c r="D30" s="190"/>
      <c r="E30" s="190">
        <f t="shared" ref="E30:J30" si="3">E29*$D$30</f>
        <v>0</v>
      </c>
      <c r="F30" s="190">
        <f t="shared" si="3"/>
        <v>0</v>
      </c>
      <c r="G30" s="190">
        <f t="shared" si="3"/>
        <v>0</v>
      </c>
      <c r="H30" s="190">
        <f t="shared" si="3"/>
        <v>0</v>
      </c>
      <c r="I30" s="190">
        <f t="shared" si="3"/>
        <v>0</v>
      </c>
      <c r="J30" s="197">
        <f t="shared" si="3"/>
        <v>0</v>
      </c>
    </row>
    <row r="31" spans="1:10" ht="14.25" customHeight="1">
      <c r="A31" s="300">
        <v>8</v>
      </c>
      <c r="B31" s="299" t="s">
        <v>424</v>
      </c>
      <c r="C31" s="186" t="s">
        <v>36</v>
      </c>
      <c r="D31" s="188">
        <f>D32/D52</f>
        <v>8.5750598506037348E-2</v>
      </c>
      <c r="E31" s="188"/>
      <c r="F31" s="188"/>
      <c r="G31" s="188">
        <v>1</v>
      </c>
      <c r="H31" s="189"/>
      <c r="I31" s="188"/>
      <c r="J31" s="196"/>
    </row>
    <row r="32" spans="1:10" ht="14.25" customHeight="1">
      <c r="A32" s="300"/>
      <c r="B32" s="299"/>
      <c r="C32" s="186" t="s">
        <v>37</v>
      </c>
      <c r="D32" s="190">
        <f>Planilha!H73</f>
        <v>102016.86260000001</v>
      </c>
      <c r="E32" s="190"/>
      <c r="F32" s="190"/>
      <c r="G32" s="190">
        <f>G31*D32</f>
        <v>102016.86260000001</v>
      </c>
      <c r="H32" s="190"/>
      <c r="I32" s="190">
        <f>I31*$D$10</f>
        <v>0</v>
      </c>
      <c r="J32" s="197">
        <f>J31*$D$10</f>
        <v>0</v>
      </c>
    </row>
    <row r="33" spans="1:10" ht="14.25" customHeight="1">
      <c r="A33" s="300">
        <v>9</v>
      </c>
      <c r="B33" s="296" t="s">
        <v>447</v>
      </c>
      <c r="C33" s="186" t="s">
        <v>36</v>
      </c>
      <c r="D33" s="188">
        <f>D34/D52</f>
        <v>9.0694514957235253E-2</v>
      </c>
      <c r="E33" s="188">
        <v>1</v>
      </c>
      <c r="F33" s="188"/>
      <c r="G33" s="188"/>
      <c r="H33" s="189"/>
      <c r="I33" s="188"/>
      <c r="J33" s="196"/>
    </row>
    <row r="34" spans="1:10" ht="14.25" customHeight="1">
      <c r="A34" s="300"/>
      <c r="B34" s="296"/>
      <c r="C34" s="186" t="s">
        <v>37</v>
      </c>
      <c r="D34" s="190">
        <f>Planilha!H82</f>
        <v>107898.60399999999</v>
      </c>
      <c r="E34" s="190">
        <f>E33*D34</f>
        <v>107898.60399999999</v>
      </c>
      <c r="F34" s="190"/>
      <c r="G34" s="190"/>
      <c r="H34" s="190"/>
      <c r="I34" s="190">
        <f>I33*$D$12</f>
        <v>0</v>
      </c>
      <c r="J34" s="197">
        <f>J33*$D$12</f>
        <v>0</v>
      </c>
    </row>
    <row r="35" spans="1:10" ht="14.25" hidden="1" customHeight="1">
      <c r="A35" s="300"/>
      <c r="B35" s="301"/>
      <c r="C35" s="186"/>
      <c r="D35" s="188"/>
      <c r="E35" s="188"/>
      <c r="F35" s="188"/>
      <c r="G35" s="188"/>
      <c r="H35" s="189"/>
      <c r="I35" s="188"/>
      <c r="J35" s="196"/>
    </row>
    <row r="36" spans="1:10" ht="14.25" hidden="1" customHeight="1">
      <c r="A36" s="300"/>
      <c r="B36" s="301"/>
      <c r="C36" s="186"/>
      <c r="D36" s="190"/>
      <c r="E36" s="190"/>
      <c r="F36" s="190"/>
      <c r="G36" s="190"/>
      <c r="H36" s="190"/>
      <c r="I36" s="190">
        <f>I35*$D$14</f>
        <v>0</v>
      </c>
      <c r="J36" s="197">
        <f>J35*$D$14</f>
        <v>0</v>
      </c>
    </row>
    <row r="37" spans="1:10" ht="14.25" hidden="1" customHeight="1">
      <c r="A37" s="300"/>
      <c r="B37" s="301"/>
      <c r="C37" s="186"/>
      <c r="D37" s="188"/>
      <c r="E37" s="188"/>
      <c r="F37" s="188"/>
      <c r="G37" s="188"/>
      <c r="H37" s="189"/>
      <c r="I37" s="188"/>
      <c r="J37" s="196"/>
    </row>
    <row r="38" spans="1:10" ht="14.25" hidden="1" customHeight="1">
      <c r="A38" s="300"/>
      <c r="B38" s="301"/>
      <c r="C38" s="186"/>
      <c r="D38" s="190"/>
      <c r="E38" s="190"/>
      <c r="F38" s="190"/>
      <c r="G38" s="190"/>
      <c r="H38" s="190"/>
      <c r="I38" s="190">
        <f>I37*$D$16</f>
        <v>0</v>
      </c>
      <c r="J38" s="197">
        <f>J37*$D$16</f>
        <v>0</v>
      </c>
    </row>
    <row r="39" spans="1:10" ht="14.25" hidden="1" customHeight="1">
      <c r="A39" s="300"/>
      <c r="B39" s="301"/>
      <c r="C39" s="186"/>
      <c r="D39" s="188"/>
      <c r="E39" s="188"/>
      <c r="F39" s="188"/>
      <c r="G39" s="188"/>
      <c r="H39" s="189"/>
      <c r="I39" s="188"/>
      <c r="J39" s="196"/>
    </row>
    <row r="40" spans="1:10" ht="14.25" hidden="1" customHeight="1">
      <c r="A40" s="300"/>
      <c r="B40" s="301"/>
      <c r="C40" s="186"/>
      <c r="D40" s="190"/>
      <c r="E40" s="190"/>
      <c r="F40" s="190"/>
      <c r="G40" s="190"/>
      <c r="H40" s="190"/>
      <c r="I40" s="190">
        <f>I39*$D$18</f>
        <v>0</v>
      </c>
      <c r="J40" s="197">
        <f>J39*$D$18</f>
        <v>0</v>
      </c>
    </row>
    <row r="41" spans="1:10" ht="14.25" hidden="1" customHeight="1">
      <c r="A41" s="300"/>
      <c r="B41" s="301"/>
      <c r="C41" s="186"/>
      <c r="D41" s="188"/>
      <c r="E41" s="188"/>
      <c r="F41" s="188"/>
      <c r="G41" s="188"/>
      <c r="H41" s="189"/>
      <c r="I41" s="188"/>
      <c r="J41" s="196"/>
    </row>
    <row r="42" spans="1:10" ht="14.25" hidden="1" customHeight="1">
      <c r="A42" s="300"/>
      <c r="B42" s="301"/>
      <c r="C42" s="186"/>
      <c r="D42" s="190"/>
      <c r="E42" s="190"/>
      <c r="F42" s="190"/>
      <c r="G42" s="190"/>
      <c r="H42" s="190"/>
      <c r="I42" s="190">
        <f>I41*$D$20</f>
        <v>0</v>
      </c>
      <c r="J42" s="197">
        <f>J41*$D$20</f>
        <v>0</v>
      </c>
    </row>
    <row r="43" spans="1:10" ht="14.25" customHeight="1">
      <c r="A43" s="300">
        <v>10</v>
      </c>
      <c r="B43" s="296" t="s">
        <v>427</v>
      </c>
      <c r="C43" s="186" t="s">
        <v>36</v>
      </c>
      <c r="D43" s="188">
        <f>D44/D52</f>
        <v>0.10564833826977012</v>
      </c>
      <c r="E43" s="188"/>
      <c r="F43" s="188"/>
      <c r="G43" s="188"/>
      <c r="H43" s="189"/>
      <c r="I43" s="188">
        <v>1</v>
      </c>
      <c r="J43" s="196"/>
    </row>
    <row r="44" spans="1:10" ht="14.25" customHeight="1">
      <c r="A44" s="300"/>
      <c r="B44" s="296"/>
      <c r="C44" s="186" t="s">
        <v>37</v>
      </c>
      <c r="D44" s="190">
        <f>Planilha!H91</f>
        <v>125689.05870000001</v>
      </c>
      <c r="E44" s="190"/>
      <c r="F44" s="190"/>
      <c r="G44" s="190"/>
      <c r="H44" s="190"/>
      <c r="I44" s="190">
        <f>I43*D44</f>
        <v>125689.05870000001</v>
      </c>
      <c r="J44" s="197">
        <f>J43*$D$22</f>
        <v>0</v>
      </c>
    </row>
    <row r="45" spans="1:10" ht="14.25" customHeight="1">
      <c r="A45" s="297">
        <v>11</v>
      </c>
      <c r="B45" s="296" t="s">
        <v>426</v>
      </c>
      <c r="C45" s="186" t="s">
        <v>36</v>
      </c>
      <c r="D45" s="188">
        <f>D46/$D$52</f>
        <v>0.10640437172820112</v>
      </c>
      <c r="E45" s="188"/>
      <c r="F45" s="188">
        <v>1</v>
      </c>
      <c r="G45" s="188"/>
      <c r="H45" s="189"/>
      <c r="I45" s="188"/>
      <c r="J45" s="196"/>
    </row>
    <row r="46" spans="1:10" ht="14.25" customHeight="1">
      <c r="A46" s="297"/>
      <c r="B46" s="296"/>
      <c r="C46" s="186" t="s">
        <v>37</v>
      </c>
      <c r="D46" s="190">
        <f>Planilha!H100</f>
        <v>126588.5062</v>
      </c>
      <c r="E46" s="190">
        <f t="shared" ref="E46:J46" si="4">E45*$D$24</f>
        <v>0</v>
      </c>
      <c r="F46" s="190">
        <f>F45*D46</f>
        <v>126588.5062</v>
      </c>
      <c r="G46" s="190">
        <f t="shared" si="4"/>
        <v>0</v>
      </c>
      <c r="H46" s="190">
        <f t="shared" si="4"/>
        <v>0</v>
      </c>
      <c r="I46" s="190">
        <f t="shared" si="4"/>
        <v>0</v>
      </c>
      <c r="J46" s="197">
        <f t="shared" si="4"/>
        <v>0</v>
      </c>
    </row>
    <row r="47" spans="1:10" ht="14.25" customHeight="1">
      <c r="A47" s="297">
        <v>12</v>
      </c>
      <c r="B47" s="296" t="s">
        <v>448</v>
      </c>
      <c r="C47" s="186" t="s">
        <v>36</v>
      </c>
      <c r="D47" s="188">
        <f>D48/D52</f>
        <v>7.9081509437504555E-2</v>
      </c>
      <c r="E47" s="188">
        <v>1</v>
      </c>
      <c r="F47" s="188"/>
      <c r="G47" s="188"/>
      <c r="H47" s="189"/>
      <c r="I47" s="188"/>
      <c r="J47" s="196"/>
    </row>
    <row r="48" spans="1:10" ht="14.25" customHeight="1">
      <c r="A48" s="297"/>
      <c r="B48" s="296"/>
      <c r="C48" s="186" t="s">
        <v>37</v>
      </c>
      <c r="D48" s="190">
        <f>Planilha!H109</f>
        <v>94082.695900000006</v>
      </c>
      <c r="E48" s="190">
        <f>D48*E47</f>
        <v>94082.695900000006</v>
      </c>
      <c r="F48" s="190"/>
      <c r="G48" s="190"/>
      <c r="H48" s="190">
        <f t="shared" ref="H48:J48" si="5">H47*$D$26</f>
        <v>0</v>
      </c>
      <c r="I48" s="190">
        <f t="shared" si="5"/>
        <v>0</v>
      </c>
      <c r="J48" s="197">
        <f t="shared" si="5"/>
        <v>0</v>
      </c>
    </row>
    <row r="49" spans="1:11" ht="14.25" customHeight="1">
      <c r="A49" s="298" t="s">
        <v>472</v>
      </c>
      <c r="B49" s="296" t="s">
        <v>428</v>
      </c>
      <c r="C49" s="186" t="s">
        <v>36</v>
      </c>
      <c r="D49" s="188">
        <f>D50/D52</f>
        <v>0.12261281119288688</v>
      </c>
      <c r="E49" s="188"/>
      <c r="F49" s="188"/>
      <c r="G49" s="188"/>
      <c r="H49" s="189">
        <v>1</v>
      </c>
      <c r="I49" s="188"/>
      <c r="J49" s="196"/>
    </row>
    <row r="50" spans="1:11" ht="14.25" customHeight="1">
      <c r="A50" s="298"/>
      <c r="B50" s="296"/>
      <c r="C50" s="186" t="s">
        <v>37</v>
      </c>
      <c r="D50" s="190">
        <f>Planilha!H118</f>
        <v>145871.5686</v>
      </c>
      <c r="E50" s="190"/>
      <c r="F50" s="190"/>
      <c r="G50" s="190"/>
      <c r="H50" s="190">
        <f>H49*D50</f>
        <v>145871.5686</v>
      </c>
      <c r="I50" s="190">
        <f t="shared" ref="I50:J50" si="6">I49*$D$28</f>
        <v>0</v>
      </c>
      <c r="J50" s="197">
        <f t="shared" si="6"/>
        <v>0</v>
      </c>
    </row>
    <row r="51" spans="1:11" ht="14.25" customHeight="1">
      <c r="A51" s="297" t="s">
        <v>38</v>
      </c>
      <c r="B51" s="302"/>
      <c r="C51" s="193" t="s">
        <v>36</v>
      </c>
      <c r="D51" s="187">
        <f>D49+D47+D45+D43+D33+D31+D27+D25+D23+D21+D11+D9+D7</f>
        <v>1</v>
      </c>
      <c r="E51" s="187">
        <f>E52/D52</f>
        <v>0.17136018281058138</v>
      </c>
      <c r="F51" s="187">
        <f>F52/D52</f>
        <v>0.17117742091187874</v>
      </c>
      <c r="G51" s="187">
        <f>G52/D52</f>
        <v>0.18927723680033728</v>
      </c>
      <c r="H51" s="187">
        <f>H52/D52</f>
        <v>0.15943790605110317</v>
      </c>
      <c r="I51" s="187">
        <f>I52/D52</f>
        <v>0.20060201957579565</v>
      </c>
      <c r="J51" s="187">
        <f>J52/D52</f>
        <v>0.10814523385030375</v>
      </c>
      <c r="K51" s="201"/>
    </row>
    <row r="52" spans="1:11" ht="13.5" customHeight="1" thickBot="1">
      <c r="A52" s="303"/>
      <c r="B52" s="304"/>
      <c r="C52" s="199" t="s">
        <v>37</v>
      </c>
      <c r="D52" s="200">
        <f>D50+D48+D46+D44+D34+D32+D28+D26+D24+D22+D12+D10+D8</f>
        <v>1189692.717921</v>
      </c>
      <c r="E52" s="200">
        <f t="shared" ref="E52:J52" si="7">E50+E48+E46+E44+E34+E32+E28+E26+E24+E22+E12+E10+E8</f>
        <v>203865.96163136</v>
      </c>
      <c r="F52" s="200">
        <f t="shared" si="7"/>
        <v>203648.53113136004</v>
      </c>
      <c r="G52" s="200">
        <f t="shared" si="7"/>
        <v>225181.75028956999</v>
      </c>
      <c r="H52" s="200">
        <f t="shared" si="7"/>
        <v>189682.11578956997</v>
      </c>
      <c r="I52" s="200">
        <f t="shared" si="7"/>
        <v>238654.76188956999</v>
      </c>
      <c r="J52" s="200">
        <f t="shared" si="7"/>
        <v>128659.59718957001</v>
      </c>
      <c r="K52" s="202"/>
    </row>
    <row r="53" spans="1:11" ht="14.1" customHeight="1"/>
    <row r="54" spans="1:11" ht="14.1" customHeight="1"/>
    <row r="55" spans="1:11" ht="14.1" customHeight="1"/>
  </sheetData>
  <mergeCells count="50">
    <mergeCell ref="A19:A20"/>
    <mergeCell ref="A7:A8"/>
    <mergeCell ref="B7:B8"/>
    <mergeCell ref="A9:A10"/>
    <mergeCell ref="B9:B10"/>
    <mergeCell ref="A11:A12"/>
    <mergeCell ref="A17:A18"/>
    <mergeCell ref="B11:B12"/>
    <mergeCell ref="A13:A14"/>
    <mergeCell ref="A15:A16"/>
    <mergeCell ref="A51:B52"/>
    <mergeCell ref="A23:A24"/>
    <mergeCell ref="A35:A36"/>
    <mergeCell ref="B35:B36"/>
    <mergeCell ref="A37:A38"/>
    <mergeCell ref="B37:B38"/>
    <mergeCell ref="A45:A46"/>
    <mergeCell ref="B45:B46"/>
    <mergeCell ref="A29:A30"/>
    <mergeCell ref="A25:A26"/>
    <mergeCell ref="A27:A28"/>
    <mergeCell ref="A21:A22"/>
    <mergeCell ref="A39:A40"/>
    <mergeCell ref="B39:B40"/>
    <mergeCell ref="A41:A42"/>
    <mergeCell ref="B41:B42"/>
    <mergeCell ref="B27:B28"/>
    <mergeCell ref="B23:B24"/>
    <mergeCell ref="A31:A32"/>
    <mergeCell ref="B21:B22"/>
    <mergeCell ref="B25:B26"/>
    <mergeCell ref="A47:A48"/>
    <mergeCell ref="B47:B48"/>
    <mergeCell ref="A49:A50"/>
    <mergeCell ref="B49:B50"/>
    <mergeCell ref="B31:B32"/>
    <mergeCell ref="B33:B34"/>
    <mergeCell ref="A33:A34"/>
    <mergeCell ref="A43:A44"/>
    <mergeCell ref="B43:B44"/>
    <mergeCell ref="A1:J1"/>
    <mergeCell ref="A2:J2"/>
    <mergeCell ref="A3:J3"/>
    <mergeCell ref="G4:J4"/>
    <mergeCell ref="G5:J5"/>
    <mergeCell ref="C5:F5"/>
    <mergeCell ref="A5:B5"/>
    <mergeCell ref="A4:B4"/>
    <mergeCell ref="C4:D4"/>
    <mergeCell ref="E4:F4"/>
  </mergeCells>
  <phoneticPr fontId="15" type="noConversion"/>
  <printOptions horizontalCentered="1"/>
  <pageMargins left="0.39370078740157483" right="0.39370078740157483" top="0.59055118110236227" bottom="0.19685039370078741" header="0.19685039370078741" footer="0"/>
  <pageSetup paperSize="9" scale="85" orientation="landscape" r:id="rId1"/>
  <headerFooter alignWithMargins="0"/>
  <drawing r:id="rId2"/>
  <legacyDrawing r:id="rId3"/>
  <oleObjects>
    <oleObject progId="CorelDRAW.Graphic.10" shapeId="16387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7"/>
  <dimension ref="A1:P86"/>
  <sheetViews>
    <sheetView topLeftCell="A70" zoomScale="85" zoomScaleNormal="85" workbookViewId="0">
      <selection activeCell="C62" sqref="C62:D62"/>
    </sheetView>
  </sheetViews>
  <sheetFormatPr defaultRowHeight="12.75"/>
  <cols>
    <col min="1" max="1" width="7.85546875" customWidth="1"/>
    <col min="2" max="2" width="12.7109375" customWidth="1"/>
    <col min="3" max="3" width="72.28515625" customWidth="1"/>
    <col min="4" max="4" width="7.7109375" customWidth="1"/>
    <col min="5" max="5" width="9.140625" hidden="1" customWidth="1"/>
    <col min="7" max="7" width="14.42578125" customWidth="1"/>
    <col min="8" max="8" width="14.42578125" style="76" customWidth="1"/>
    <col min="9" max="9" width="14.42578125" style="77" customWidth="1"/>
    <col min="10" max="10" width="13" customWidth="1"/>
    <col min="11" max="11" width="12.5703125" customWidth="1"/>
    <col min="12" max="12" width="13" customWidth="1"/>
    <col min="13" max="13" width="12" bestFit="1" customWidth="1"/>
    <col min="14" max="14" width="13.140625" bestFit="1" customWidth="1"/>
  </cols>
  <sheetData>
    <row r="1" spans="1:12">
      <c r="A1" s="260" t="s">
        <v>141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1:12">
      <c r="A2" s="261" t="s">
        <v>142</v>
      </c>
      <c r="B2" s="261"/>
      <c r="C2" s="261"/>
      <c r="D2" s="261"/>
      <c r="E2" s="261"/>
      <c r="F2" s="261"/>
      <c r="G2" s="261" t="s">
        <v>143</v>
      </c>
      <c r="H2" s="261"/>
      <c r="I2" s="261"/>
      <c r="J2" s="261"/>
      <c r="K2" s="261"/>
      <c r="L2" s="261"/>
    </row>
    <row r="3" spans="1:12">
      <c r="A3" s="262" t="s">
        <v>144</v>
      </c>
      <c r="B3" s="262"/>
      <c r="C3" s="262"/>
      <c r="D3" s="262"/>
      <c r="E3" s="262"/>
      <c r="F3" s="262"/>
      <c r="G3" s="263" t="s">
        <v>145</v>
      </c>
      <c r="H3" s="263"/>
      <c r="I3" s="263"/>
      <c r="J3" s="263"/>
      <c r="K3" s="263"/>
      <c r="L3" s="263"/>
    </row>
    <row r="4" spans="1:12">
      <c r="A4" s="79" t="s">
        <v>146</v>
      </c>
      <c r="B4" s="79"/>
      <c r="C4" s="79"/>
      <c r="D4" s="263" t="s">
        <v>147</v>
      </c>
      <c r="E4" s="263"/>
      <c r="F4" s="263"/>
      <c r="G4" s="263"/>
      <c r="H4" s="263"/>
      <c r="I4" s="263"/>
      <c r="J4" s="263"/>
      <c r="K4" s="263"/>
      <c r="L4" s="263"/>
    </row>
    <row r="5" spans="1:12">
      <c r="A5" s="79" t="s">
        <v>148</v>
      </c>
      <c r="B5" s="79"/>
      <c r="C5" s="80"/>
      <c r="D5" s="266" t="s">
        <v>149</v>
      </c>
      <c r="E5" s="266"/>
      <c r="F5" s="266"/>
      <c r="G5" s="266"/>
      <c r="H5" s="266"/>
      <c r="I5" s="266"/>
      <c r="J5" s="266"/>
      <c r="K5" s="260" t="s">
        <v>150</v>
      </c>
      <c r="L5" s="260"/>
    </row>
    <row r="6" spans="1:12">
      <c r="A6" s="79" t="s">
        <v>151</v>
      </c>
      <c r="B6" s="79"/>
      <c r="C6" s="80"/>
      <c r="D6" s="266"/>
      <c r="E6" s="266"/>
      <c r="F6" s="266"/>
      <c r="G6" s="266"/>
      <c r="H6" s="266"/>
      <c r="I6" s="266"/>
      <c r="J6" s="266"/>
      <c r="K6" s="262" t="s">
        <v>152</v>
      </c>
      <c r="L6" s="262"/>
    </row>
    <row r="7" spans="1:12" ht="45" customHeight="1">
      <c r="A7" s="78" t="s">
        <v>0</v>
      </c>
      <c r="B7" s="78" t="s">
        <v>5</v>
      </c>
      <c r="C7" s="260" t="s">
        <v>153</v>
      </c>
      <c r="D7" s="260"/>
      <c r="E7" s="260"/>
      <c r="F7" s="82" t="s">
        <v>3</v>
      </c>
      <c r="G7" s="78" t="s">
        <v>2</v>
      </c>
      <c r="H7" s="83" t="s">
        <v>321</v>
      </c>
      <c r="I7" s="84" t="s">
        <v>322</v>
      </c>
      <c r="J7" s="85" t="s">
        <v>154</v>
      </c>
      <c r="K7" s="86" t="s">
        <v>155</v>
      </c>
      <c r="L7" s="78" t="s">
        <v>10</v>
      </c>
    </row>
    <row r="8" spans="1:12" s="109" customFormat="1">
      <c r="A8" s="104">
        <v>1</v>
      </c>
      <c r="B8" s="105"/>
      <c r="C8" s="312" t="s">
        <v>156</v>
      </c>
      <c r="D8" s="312"/>
      <c r="E8" s="312"/>
      <c r="F8" s="105"/>
      <c r="G8" s="106"/>
      <c r="H8" s="106"/>
      <c r="I8" s="106"/>
      <c r="J8" s="106"/>
      <c r="K8" s="106"/>
      <c r="L8" s="108"/>
    </row>
    <row r="9" spans="1:12">
      <c r="A9" s="78" t="s">
        <v>16</v>
      </c>
      <c r="B9" s="80"/>
      <c r="C9" s="265" t="s">
        <v>157</v>
      </c>
      <c r="D9" s="265"/>
      <c r="E9" s="265"/>
      <c r="F9" s="80"/>
      <c r="G9" s="81"/>
      <c r="H9" s="87"/>
      <c r="I9" s="88"/>
      <c r="J9" s="81"/>
      <c r="K9" s="81"/>
      <c r="L9" s="81"/>
    </row>
    <row r="10" spans="1:12">
      <c r="A10" s="78" t="s">
        <v>158</v>
      </c>
      <c r="B10" s="80" t="s">
        <v>159</v>
      </c>
      <c r="C10" s="265" t="s">
        <v>160</v>
      </c>
      <c r="D10" s="265"/>
      <c r="E10" s="265"/>
      <c r="F10" s="81" t="s">
        <v>161</v>
      </c>
      <c r="G10" s="81">
        <v>15</v>
      </c>
      <c r="H10" s="87">
        <f>15</f>
        <v>15</v>
      </c>
      <c r="I10" s="88">
        <f>G10-H10</f>
        <v>0</v>
      </c>
      <c r="J10" s="81">
        <v>271.23</v>
      </c>
      <c r="K10" s="90">
        <f>(J10*0.26)+J10</f>
        <v>341.74980000000005</v>
      </c>
      <c r="L10" s="89">
        <f>G10*K10</f>
        <v>5126.2470000000012</v>
      </c>
    </row>
    <row r="11" spans="1:12" ht="30.75" customHeight="1">
      <c r="A11" s="78" t="s">
        <v>162</v>
      </c>
      <c r="B11" s="80" t="s">
        <v>163</v>
      </c>
      <c r="C11" s="268" t="s">
        <v>164</v>
      </c>
      <c r="D11" s="268"/>
      <c r="E11" s="268"/>
      <c r="F11" s="81" t="s">
        <v>165</v>
      </c>
      <c r="G11" s="81">
        <v>1</v>
      </c>
      <c r="H11" s="87">
        <f>1</f>
        <v>1</v>
      </c>
      <c r="I11" s="88">
        <f t="shared" ref="I11:I74" si="0">G11-H11</f>
        <v>0</v>
      </c>
      <c r="J11" s="81">
        <v>723.45</v>
      </c>
      <c r="K11" s="90">
        <f t="shared" ref="K11:K74" si="1">(J11*0.26)+J11</f>
        <v>911.54700000000003</v>
      </c>
      <c r="L11" s="89">
        <f t="shared" ref="L11:L74" si="2">G11*K11</f>
        <v>911.54700000000003</v>
      </c>
    </row>
    <row r="12" spans="1:12">
      <c r="A12" s="78" t="s">
        <v>166</v>
      </c>
      <c r="B12" s="80" t="s">
        <v>167</v>
      </c>
      <c r="C12" s="265" t="s">
        <v>168</v>
      </c>
      <c r="D12" s="265"/>
      <c r="E12" s="265"/>
      <c r="F12" s="81" t="s">
        <v>165</v>
      </c>
      <c r="G12" s="81">
        <v>1</v>
      </c>
      <c r="H12" s="87">
        <f>1</f>
        <v>1</v>
      </c>
      <c r="I12" s="88">
        <f t="shared" si="0"/>
        <v>0</v>
      </c>
      <c r="J12" s="81">
        <v>867.55</v>
      </c>
      <c r="K12" s="90">
        <f t="shared" si="1"/>
        <v>1093.1129999999998</v>
      </c>
      <c r="L12" s="89">
        <f t="shared" si="2"/>
        <v>1093.1129999999998</v>
      </c>
    </row>
    <row r="13" spans="1:12">
      <c r="A13" s="78" t="s">
        <v>169</v>
      </c>
      <c r="B13" s="80" t="s">
        <v>170</v>
      </c>
      <c r="C13" s="265" t="s">
        <v>171</v>
      </c>
      <c r="D13" s="265"/>
      <c r="E13" s="265"/>
      <c r="F13" s="81" t="s">
        <v>165</v>
      </c>
      <c r="G13" s="81">
        <v>1</v>
      </c>
      <c r="H13" s="87">
        <f>1</f>
        <v>1</v>
      </c>
      <c r="I13" s="88">
        <f t="shared" si="0"/>
        <v>0</v>
      </c>
      <c r="J13" s="81">
        <v>398.25</v>
      </c>
      <c r="K13" s="90">
        <f t="shared" si="1"/>
        <v>501.79500000000002</v>
      </c>
      <c r="L13" s="89">
        <f t="shared" si="2"/>
        <v>501.79500000000002</v>
      </c>
    </row>
    <row r="14" spans="1:12">
      <c r="A14" s="78"/>
      <c r="B14" s="80"/>
      <c r="C14" s="265"/>
      <c r="D14" s="265"/>
      <c r="E14" s="80"/>
      <c r="F14" s="81"/>
      <c r="G14" s="81"/>
      <c r="H14" s="87"/>
      <c r="I14" s="88">
        <f t="shared" si="0"/>
        <v>0</v>
      </c>
      <c r="J14" s="81"/>
      <c r="K14" s="90"/>
      <c r="L14" s="89"/>
    </row>
    <row r="15" spans="1:12" s="56" customFormat="1">
      <c r="A15" s="94">
        <v>2</v>
      </c>
      <c r="B15" s="95"/>
      <c r="C15" s="267" t="s">
        <v>172</v>
      </c>
      <c r="D15" s="267"/>
      <c r="E15" s="95"/>
      <c r="F15" s="96"/>
      <c r="G15" s="96"/>
      <c r="H15" s="97"/>
      <c r="I15" s="98">
        <f t="shared" si="0"/>
        <v>0</v>
      </c>
      <c r="J15" s="96"/>
      <c r="K15" s="100"/>
      <c r="L15" s="99"/>
    </row>
    <row r="16" spans="1:12">
      <c r="A16" s="78" t="s">
        <v>19</v>
      </c>
      <c r="B16" s="80"/>
      <c r="C16" s="265" t="s">
        <v>17</v>
      </c>
      <c r="D16" s="265"/>
      <c r="E16" s="80"/>
      <c r="F16" s="81"/>
      <c r="G16" s="81"/>
      <c r="H16" s="87"/>
      <c r="I16" s="88">
        <f t="shared" si="0"/>
        <v>0</v>
      </c>
      <c r="J16" s="81"/>
      <c r="K16" s="90"/>
      <c r="L16" s="89"/>
    </row>
    <row r="17" spans="1:15" ht="30" customHeight="1">
      <c r="A17" s="78" t="s">
        <v>71</v>
      </c>
      <c r="B17" s="80" t="s">
        <v>173</v>
      </c>
      <c r="C17" s="268" t="s">
        <v>174</v>
      </c>
      <c r="D17" s="268"/>
      <c r="E17" s="80"/>
      <c r="F17" s="81" t="s">
        <v>161</v>
      </c>
      <c r="G17" s="91">
        <v>2404.42</v>
      </c>
      <c r="H17" s="92">
        <f>2404.42</f>
        <v>2404.42</v>
      </c>
      <c r="I17" s="88">
        <f t="shared" si="0"/>
        <v>0</v>
      </c>
      <c r="J17" s="81">
        <v>5.61</v>
      </c>
      <c r="K17" s="90">
        <f t="shared" si="1"/>
        <v>7.0686</v>
      </c>
      <c r="L17" s="89">
        <f t="shared" si="2"/>
        <v>16995.883212000001</v>
      </c>
    </row>
    <row r="18" spans="1:15">
      <c r="A18" s="78"/>
      <c r="B18" s="80"/>
      <c r="C18" s="265"/>
      <c r="D18" s="265"/>
      <c r="E18" s="80"/>
      <c r="F18" s="81"/>
      <c r="G18" s="81"/>
      <c r="H18" s="87"/>
      <c r="I18" s="88">
        <f t="shared" si="0"/>
        <v>0</v>
      </c>
      <c r="J18" s="81"/>
      <c r="K18" s="90"/>
      <c r="L18" s="89"/>
    </row>
    <row r="19" spans="1:15" s="109" customFormat="1">
      <c r="A19" s="110">
        <v>3</v>
      </c>
      <c r="B19" s="105"/>
      <c r="C19" s="314" t="s">
        <v>117</v>
      </c>
      <c r="D19" s="314"/>
      <c r="E19" s="105"/>
      <c r="F19" s="106"/>
      <c r="G19" s="106"/>
      <c r="H19" s="106"/>
      <c r="I19" s="106">
        <f t="shared" si="0"/>
        <v>0</v>
      </c>
      <c r="J19" s="106"/>
      <c r="K19" s="107"/>
      <c r="L19" s="108"/>
    </row>
    <row r="20" spans="1:15">
      <c r="A20" s="78" t="s">
        <v>22</v>
      </c>
      <c r="B20" s="80"/>
      <c r="C20" s="265" t="s">
        <v>175</v>
      </c>
      <c r="D20" s="265"/>
      <c r="E20" s="80"/>
      <c r="F20" s="81"/>
      <c r="G20" s="81"/>
      <c r="H20" s="87"/>
      <c r="I20" s="88">
        <f t="shared" si="0"/>
        <v>0</v>
      </c>
      <c r="J20" s="81"/>
      <c r="K20" s="90"/>
      <c r="L20" s="89"/>
    </row>
    <row r="21" spans="1:15" ht="30.75" customHeight="1">
      <c r="A21" s="78" t="s">
        <v>73</v>
      </c>
      <c r="B21" s="80" t="s">
        <v>176</v>
      </c>
      <c r="C21" s="268" t="s">
        <v>177</v>
      </c>
      <c r="D21" s="268"/>
      <c r="E21" s="80"/>
      <c r="F21" s="81" t="s">
        <v>161</v>
      </c>
      <c r="G21" s="91">
        <v>1326.61</v>
      </c>
      <c r="H21" s="92"/>
      <c r="I21" s="88">
        <f t="shared" si="0"/>
        <v>1326.61</v>
      </c>
      <c r="J21" s="81">
        <v>12.79</v>
      </c>
      <c r="K21" s="90">
        <f t="shared" si="1"/>
        <v>16.115399999999998</v>
      </c>
      <c r="L21" s="89">
        <f t="shared" si="2"/>
        <v>21378.850793999994</v>
      </c>
    </row>
    <row r="22" spans="1:15" ht="30.75" customHeight="1">
      <c r="A22" s="78" t="s">
        <v>74</v>
      </c>
      <c r="B22" s="80" t="s">
        <v>178</v>
      </c>
      <c r="C22" s="268" t="s">
        <v>179</v>
      </c>
      <c r="D22" s="268"/>
      <c r="E22" s="80"/>
      <c r="F22" s="81" t="s">
        <v>165</v>
      </c>
      <c r="G22" s="81">
        <v>72</v>
      </c>
      <c r="H22" s="87"/>
      <c r="I22" s="88">
        <f t="shared" si="0"/>
        <v>72</v>
      </c>
      <c r="J22" s="81">
        <v>5.47</v>
      </c>
      <c r="K22" s="90">
        <f t="shared" si="1"/>
        <v>6.8921999999999999</v>
      </c>
      <c r="L22" s="89">
        <f t="shared" si="2"/>
        <v>496.23840000000001</v>
      </c>
    </row>
    <row r="23" spans="1:15">
      <c r="A23" s="78" t="s">
        <v>75</v>
      </c>
      <c r="B23" s="80" t="s">
        <v>180</v>
      </c>
      <c r="C23" s="265" t="s">
        <v>181</v>
      </c>
      <c r="D23" s="265"/>
      <c r="E23" s="80"/>
      <c r="F23" s="81" t="s">
        <v>165</v>
      </c>
      <c r="G23" s="81">
        <v>32</v>
      </c>
      <c r="H23" s="87"/>
      <c r="I23" s="88">
        <f t="shared" si="0"/>
        <v>32</v>
      </c>
      <c r="J23" s="81">
        <v>14.01</v>
      </c>
      <c r="K23" s="90">
        <f t="shared" si="1"/>
        <v>17.6526</v>
      </c>
      <c r="L23" s="89">
        <f t="shared" si="2"/>
        <v>564.88319999999999</v>
      </c>
    </row>
    <row r="24" spans="1:15">
      <c r="A24" s="78" t="s">
        <v>182</v>
      </c>
      <c r="B24" s="80" t="s">
        <v>180</v>
      </c>
      <c r="C24" s="265" t="s">
        <v>183</v>
      </c>
      <c r="D24" s="265"/>
      <c r="E24" s="80"/>
      <c r="F24" s="81" t="s">
        <v>165</v>
      </c>
      <c r="G24" s="81">
        <v>27</v>
      </c>
      <c r="H24" s="87"/>
      <c r="I24" s="88">
        <f t="shared" si="0"/>
        <v>27</v>
      </c>
      <c r="J24" s="81">
        <v>17.420000000000002</v>
      </c>
      <c r="K24" s="90">
        <f t="shared" si="1"/>
        <v>21.949200000000001</v>
      </c>
      <c r="L24" s="89">
        <f t="shared" si="2"/>
        <v>592.62840000000006</v>
      </c>
    </row>
    <row r="25" spans="1:15">
      <c r="A25" s="78" t="s">
        <v>184</v>
      </c>
      <c r="B25" s="80" t="s">
        <v>185</v>
      </c>
      <c r="C25" s="265" t="s">
        <v>186</v>
      </c>
      <c r="D25" s="265"/>
      <c r="E25" s="80"/>
      <c r="F25" s="81" t="s">
        <v>165</v>
      </c>
      <c r="G25" s="81">
        <v>13</v>
      </c>
      <c r="H25" s="87"/>
      <c r="I25" s="88">
        <f t="shared" si="0"/>
        <v>13</v>
      </c>
      <c r="J25" s="81">
        <v>53.79</v>
      </c>
      <c r="K25" s="90">
        <f t="shared" si="1"/>
        <v>67.775400000000005</v>
      </c>
      <c r="L25" s="89">
        <f t="shared" si="2"/>
        <v>881.0802000000001</v>
      </c>
    </row>
    <row r="26" spans="1:15">
      <c r="A26" s="78" t="s">
        <v>187</v>
      </c>
      <c r="B26" s="80" t="s">
        <v>188</v>
      </c>
      <c r="C26" s="265" t="s">
        <v>189</v>
      </c>
      <c r="D26" s="265"/>
      <c r="E26" s="80"/>
      <c r="F26" s="81" t="s">
        <v>23</v>
      </c>
      <c r="G26" s="81">
        <v>538.55999999999995</v>
      </c>
      <c r="H26" s="87">
        <f>60+478.56</f>
        <v>538.55999999999995</v>
      </c>
      <c r="I26" s="88">
        <f t="shared" si="0"/>
        <v>0</v>
      </c>
      <c r="J26" s="81">
        <v>13.95</v>
      </c>
      <c r="K26" s="90">
        <f t="shared" si="1"/>
        <v>17.576999999999998</v>
      </c>
      <c r="L26" s="89">
        <f t="shared" si="2"/>
        <v>9466.2691199999972</v>
      </c>
      <c r="M26" s="103">
        <f>H26*K26</f>
        <v>9466.2691199999972</v>
      </c>
      <c r="N26" s="61">
        <f>SUM(L21:L26)</f>
        <v>33379.950113999992</v>
      </c>
      <c r="O26" s="102">
        <f>M26/N26</f>
        <v>0.28359146995937895</v>
      </c>
    </row>
    <row r="27" spans="1:15">
      <c r="A27" s="78"/>
      <c r="B27" s="80"/>
      <c r="C27" s="265"/>
      <c r="D27" s="265"/>
      <c r="E27" s="80"/>
      <c r="F27" s="81"/>
      <c r="G27" s="81"/>
      <c r="H27" s="87"/>
      <c r="I27" s="88">
        <f t="shared" si="0"/>
        <v>0</v>
      </c>
      <c r="J27" s="81"/>
      <c r="K27" s="90"/>
      <c r="L27" s="89"/>
    </row>
    <row r="28" spans="1:15" s="109" customFormat="1">
      <c r="A28" s="104">
        <v>4</v>
      </c>
      <c r="B28" s="105"/>
      <c r="C28" s="314" t="s">
        <v>190</v>
      </c>
      <c r="D28" s="314"/>
      <c r="E28" s="105"/>
      <c r="F28" s="106"/>
      <c r="G28" s="106"/>
      <c r="H28" s="106"/>
      <c r="I28" s="106">
        <f t="shared" si="0"/>
        <v>0</v>
      </c>
      <c r="J28" s="106"/>
      <c r="K28" s="107"/>
      <c r="L28" s="108"/>
    </row>
    <row r="29" spans="1:15">
      <c r="A29" s="78" t="s">
        <v>120</v>
      </c>
      <c r="B29" s="80"/>
      <c r="C29" s="265" t="s">
        <v>191</v>
      </c>
      <c r="D29" s="265"/>
      <c r="E29" s="80"/>
      <c r="F29" s="81"/>
      <c r="G29" s="81"/>
      <c r="H29" s="87"/>
      <c r="I29" s="88">
        <f t="shared" si="0"/>
        <v>0</v>
      </c>
      <c r="J29" s="81"/>
      <c r="K29" s="90"/>
      <c r="L29" s="89"/>
    </row>
    <row r="30" spans="1:15" ht="29.25" customHeight="1">
      <c r="A30" s="78" t="s">
        <v>76</v>
      </c>
      <c r="B30" s="80" t="s">
        <v>192</v>
      </c>
      <c r="C30" s="268" t="s">
        <v>193</v>
      </c>
      <c r="D30" s="268"/>
      <c r="E30" s="80"/>
      <c r="F30" s="81" t="s">
        <v>165</v>
      </c>
      <c r="G30" s="81">
        <v>1</v>
      </c>
      <c r="H30" s="87">
        <f>1</f>
        <v>1</v>
      </c>
      <c r="I30" s="88">
        <f t="shared" si="0"/>
        <v>0</v>
      </c>
      <c r="J30" s="81">
        <v>19.32</v>
      </c>
      <c r="K30" s="90">
        <f t="shared" si="1"/>
        <v>24.3432</v>
      </c>
      <c r="L30" s="89">
        <f t="shared" si="2"/>
        <v>24.3432</v>
      </c>
      <c r="M30" s="103">
        <f>H30*K30</f>
        <v>24.3432</v>
      </c>
    </row>
    <row r="31" spans="1:15" ht="15" customHeight="1">
      <c r="A31" s="78" t="s">
        <v>77</v>
      </c>
      <c r="B31" s="80" t="s">
        <v>194</v>
      </c>
      <c r="C31" s="268" t="s">
        <v>195</v>
      </c>
      <c r="D31" s="268"/>
      <c r="E31" s="80"/>
      <c r="F31" s="81" t="s">
        <v>165</v>
      </c>
      <c r="G31" s="81">
        <v>1</v>
      </c>
      <c r="H31" s="87">
        <f>1</f>
        <v>1</v>
      </c>
      <c r="I31" s="88">
        <f t="shared" si="0"/>
        <v>0</v>
      </c>
      <c r="J31" s="81">
        <v>8121.89</v>
      </c>
      <c r="K31" s="90">
        <f t="shared" si="1"/>
        <v>10233.581400000001</v>
      </c>
      <c r="L31" s="89">
        <f t="shared" si="2"/>
        <v>10233.581400000001</v>
      </c>
      <c r="M31" s="103">
        <f t="shared" ref="M31:M40" si="3">H31*K31</f>
        <v>10233.581400000001</v>
      </c>
    </row>
    <row r="32" spans="1:15">
      <c r="A32" s="78" t="s">
        <v>78</v>
      </c>
      <c r="B32" s="80" t="s">
        <v>196</v>
      </c>
      <c r="C32" s="263" t="s">
        <v>197</v>
      </c>
      <c r="D32" s="263"/>
      <c r="E32" s="80"/>
      <c r="F32" s="81" t="s">
        <v>165</v>
      </c>
      <c r="G32" s="81">
        <v>4</v>
      </c>
      <c r="H32" s="87">
        <f>4</f>
        <v>4</v>
      </c>
      <c r="I32" s="88">
        <f t="shared" si="0"/>
        <v>0</v>
      </c>
      <c r="J32" s="81">
        <v>17.649999999999999</v>
      </c>
      <c r="K32" s="90">
        <f t="shared" si="1"/>
        <v>22.238999999999997</v>
      </c>
      <c r="L32" s="89">
        <f t="shared" si="2"/>
        <v>88.955999999999989</v>
      </c>
      <c r="M32" s="103">
        <f t="shared" si="3"/>
        <v>88.955999999999989</v>
      </c>
    </row>
    <row r="33" spans="1:16">
      <c r="A33" s="78" t="s">
        <v>198</v>
      </c>
      <c r="B33" s="80" t="s">
        <v>199</v>
      </c>
      <c r="C33" s="263" t="s">
        <v>200</v>
      </c>
      <c r="D33" s="263"/>
      <c r="E33" s="80"/>
      <c r="F33" s="81" t="s">
        <v>165</v>
      </c>
      <c r="G33" s="81">
        <v>2</v>
      </c>
      <c r="H33" s="87">
        <f>2</f>
        <v>2</v>
      </c>
      <c r="I33" s="88">
        <f t="shared" si="0"/>
        <v>0</v>
      </c>
      <c r="J33" s="81">
        <v>46.43</v>
      </c>
      <c r="K33" s="90">
        <f t="shared" si="1"/>
        <v>58.501800000000003</v>
      </c>
      <c r="L33" s="89">
        <f t="shared" si="2"/>
        <v>117.00360000000001</v>
      </c>
      <c r="M33" s="103">
        <f t="shared" si="3"/>
        <v>117.00360000000001</v>
      </c>
    </row>
    <row r="34" spans="1:16">
      <c r="A34" s="78" t="s">
        <v>201</v>
      </c>
      <c r="B34" s="80" t="s">
        <v>202</v>
      </c>
      <c r="C34" s="263" t="s">
        <v>203</v>
      </c>
      <c r="D34" s="263"/>
      <c r="E34" s="80"/>
      <c r="F34" s="81" t="s">
        <v>204</v>
      </c>
      <c r="G34" s="81">
        <v>2</v>
      </c>
      <c r="H34" s="87">
        <f>2</f>
        <v>2</v>
      </c>
      <c r="I34" s="88">
        <f t="shared" si="0"/>
        <v>0</v>
      </c>
      <c r="J34" s="81">
        <v>50.73</v>
      </c>
      <c r="K34" s="90">
        <f t="shared" si="1"/>
        <v>63.919799999999995</v>
      </c>
      <c r="L34" s="89">
        <f t="shared" si="2"/>
        <v>127.83959999999999</v>
      </c>
      <c r="M34" s="103">
        <f t="shared" si="3"/>
        <v>127.83959999999999</v>
      </c>
    </row>
    <row r="35" spans="1:16">
      <c r="A35" s="78" t="s">
        <v>205</v>
      </c>
      <c r="B35" s="80" t="s">
        <v>206</v>
      </c>
      <c r="C35" s="263" t="s">
        <v>207</v>
      </c>
      <c r="D35" s="263"/>
      <c r="E35" s="80"/>
      <c r="F35" s="81" t="s">
        <v>23</v>
      </c>
      <c r="G35" s="81">
        <v>42</v>
      </c>
      <c r="H35" s="87">
        <f>42</f>
        <v>42</v>
      </c>
      <c r="I35" s="88">
        <f t="shared" si="0"/>
        <v>0</v>
      </c>
      <c r="J35" s="81">
        <v>14.15</v>
      </c>
      <c r="K35" s="90">
        <f t="shared" si="1"/>
        <v>17.829000000000001</v>
      </c>
      <c r="L35" s="89">
        <f t="shared" si="2"/>
        <v>748.81799999999998</v>
      </c>
      <c r="M35" s="103">
        <f t="shared" si="3"/>
        <v>748.81799999999998</v>
      </c>
    </row>
    <row r="36" spans="1:16">
      <c r="A36" s="78" t="s">
        <v>208</v>
      </c>
      <c r="B36" s="80" t="s">
        <v>209</v>
      </c>
      <c r="C36" s="263" t="s">
        <v>210</v>
      </c>
      <c r="D36" s="263"/>
      <c r="E36" s="80"/>
      <c r="F36" s="81" t="s">
        <v>23</v>
      </c>
      <c r="G36" s="81">
        <v>20</v>
      </c>
      <c r="H36" s="87">
        <f>20</f>
        <v>20</v>
      </c>
      <c r="I36" s="88">
        <f t="shared" si="0"/>
        <v>0</v>
      </c>
      <c r="J36" s="81">
        <v>10.220000000000001</v>
      </c>
      <c r="K36" s="90">
        <f t="shared" si="1"/>
        <v>12.877200000000002</v>
      </c>
      <c r="L36" s="89">
        <f t="shared" si="2"/>
        <v>257.54400000000004</v>
      </c>
      <c r="M36" s="103">
        <f t="shared" si="3"/>
        <v>257.54400000000004</v>
      </c>
    </row>
    <row r="37" spans="1:16">
      <c r="A37" s="78" t="s">
        <v>211</v>
      </c>
      <c r="B37" s="80" t="s">
        <v>212</v>
      </c>
      <c r="C37" s="263" t="s">
        <v>213</v>
      </c>
      <c r="D37" s="263"/>
      <c r="E37" s="80"/>
      <c r="F37" s="81" t="s">
        <v>23</v>
      </c>
      <c r="G37" s="81">
        <v>24</v>
      </c>
      <c r="H37" s="87">
        <f>24</f>
        <v>24</v>
      </c>
      <c r="I37" s="88">
        <f t="shared" si="0"/>
        <v>0</v>
      </c>
      <c r="J37" s="81">
        <v>17.809999999999999</v>
      </c>
      <c r="K37" s="90">
        <f t="shared" si="1"/>
        <v>22.440599999999996</v>
      </c>
      <c r="L37" s="89">
        <f t="shared" si="2"/>
        <v>538.57439999999997</v>
      </c>
      <c r="M37" s="103">
        <f t="shared" si="3"/>
        <v>538.57439999999997</v>
      </c>
    </row>
    <row r="38" spans="1:16">
      <c r="A38" s="78" t="s">
        <v>214</v>
      </c>
      <c r="B38" s="80" t="s">
        <v>215</v>
      </c>
      <c r="C38" s="263" t="s">
        <v>216</v>
      </c>
      <c r="D38" s="263"/>
      <c r="E38" s="80"/>
      <c r="F38" s="81" t="s">
        <v>23</v>
      </c>
      <c r="G38" s="81">
        <v>178.39</v>
      </c>
      <c r="H38" s="87">
        <f>178.39</f>
        <v>178.39</v>
      </c>
      <c r="I38" s="88">
        <f t="shared" si="0"/>
        <v>0</v>
      </c>
      <c r="J38" s="81">
        <v>20.420000000000002</v>
      </c>
      <c r="K38" s="90">
        <f t="shared" si="1"/>
        <v>25.729200000000002</v>
      </c>
      <c r="L38" s="89">
        <f t="shared" si="2"/>
        <v>4589.8319879999999</v>
      </c>
      <c r="M38" s="103">
        <f t="shared" si="3"/>
        <v>4589.8319879999999</v>
      </c>
    </row>
    <row r="39" spans="1:16">
      <c r="A39" s="78" t="s">
        <v>217</v>
      </c>
      <c r="B39" s="128" t="s">
        <v>218</v>
      </c>
      <c r="C39" s="313" t="s">
        <v>219</v>
      </c>
      <c r="D39" s="263"/>
      <c r="E39" s="80"/>
      <c r="F39" s="81" t="s">
        <v>165</v>
      </c>
      <c r="G39" s="81">
        <v>1</v>
      </c>
      <c r="H39" s="87"/>
      <c r="I39" s="88">
        <f t="shared" si="0"/>
        <v>1</v>
      </c>
      <c r="J39" s="81">
        <v>884.76</v>
      </c>
      <c r="K39" s="90">
        <f t="shared" si="1"/>
        <v>1114.7975999999999</v>
      </c>
      <c r="L39" s="89">
        <f t="shared" si="2"/>
        <v>1114.7975999999999</v>
      </c>
      <c r="M39" s="103">
        <f t="shared" si="3"/>
        <v>0</v>
      </c>
    </row>
    <row r="40" spans="1:16">
      <c r="A40" s="78" t="s">
        <v>220</v>
      </c>
      <c r="B40" s="80" t="s">
        <v>221</v>
      </c>
      <c r="C40" s="263" t="s">
        <v>222</v>
      </c>
      <c r="D40" s="263"/>
      <c r="E40" s="80"/>
      <c r="F40" s="81" t="s">
        <v>165</v>
      </c>
      <c r="G40" s="81">
        <v>16</v>
      </c>
      <c r="H40" s="87">
        <f>16</f>
        <v>16</v>
      </c>
      <c r="I40" s="88">
        <f t="shared" si="0"/>
        <v>0</v>
      </c>
      <c r="J40" s="81">
        <v>30.59</v>
      </c>
      <c r="K40" s="90">
        <f t="shared" si="1"/>
        <v>38.543399999999998</v>
      </c>
      <c r="L40" s="89">
        <f t="shared" si="2"/>
        <v>616.69439999999997</v>
      </c>
      <c r="M40" s="103">
        <f t="shared" si="3"/>
        <v>616.69439999999997</v>
      </c>
    </row>
    <row r="41" spans="1:16">
      <c r="A41" s="80"/>
      <c r="B41" s="80"/>
      <c r="C41" s="263"/>
      <c r="D41" s="263"/>
      <c r="E41" s="80"/>
      <c r="F41" s="80"/>
      <c r="G41" s="81"/>
      <c r="H41" s="87"/>
      <c r="I41" s="88">
        <f t="shared" si="0"/>
        <v>0</v>
      </c>
      <c r="J41" s="81"/>
      <c r="K41" s="90"/>
      <c r="L41" s="89"/>
      <c r="M41" s="103">
        <f>SUM(M30:M40)</f>
        <v>17343.186587999997</v>
      </c>
      <c r="N41" s="103">
        <f>SUM(L30:L40)</f>
        <v>18457.984187999995</v>
      </c>
      <c r="O41" s="102">
        <f>M41/N41</f>
        <v>0.93960350227600931</v>
      </c>
      <c r="P41" s="102">
        <f>O41/2</f>
        <v>0.46980175113800465</v>
      </c>
    </row>
    <row r="42" spans="1:16" s="109" customFormat="1">
      <c r="A42" s="106">
        <v>5</v>
      </c>
      <c r="B42" s="105"/>
      <c r="C42" s="312" t="s">
        <v>223</v>
      </c>
      <c r="D42" s="312"/>
      <c r="E42" s="105"/>
      <c r="F42" s="105"/>
      <c r="G42" s="106"/>
      <c r="H42" s="106"/>
      <c r="I42" s="106">
        <f t="shared" si="0"/>
        <v>0</v>
      </c>
      <c r="J42" s="106"/>
      <c r="K42" s="107"/>
      <c r="L42" s="108"/>
      <c r="O42" s="116">
        <f>O41-0.4</f>
        <v>0.53960350227600928</v>
      </c>
    </row>
    <row r="43" spans="1:16">
      <c r="A43" s="78" t="s">
        <v>224</v>
      </c>
      <c r="B43" s="80"/>
      <c r="C43" s="263" t="s">
        <v>225</v>
      </c>
      <c r="D43" s="263"/>
      <c r="E43" s="80"/>
      <c r="F43" s="80"/>
      <c r="G43" s="81"/>
      <c r="H43" s="87"/>
      <c r="I43" s="88">
        <f t="shared" si="0"/>
        <v>0</v>
      </c>
      <c r="J43" s="81"/>
      <c r="K43" s="90"/>
      <c r="L43" s="89"/>
      <c r="P43">
        <f>46.98*2</f>
        <v>93.96</v>
      </c>
    </row>
    <row r="44" spans="1:16">
      <c r="A44" s="78" t="s">
        <v>226</v>
      </c>
      <c r="B44" s="80" t="s">
        <v>123</v>
      </c>
      <c r="C44" s="263" t="s">
        <v>227</v>
      </c>
      <c r="D44" s="263"/>
      <c r="E44" s="80"/>
      <c r="F44" s="81" t="s">
        <v>23</v>
      </c>
      <c r="G44" s="81">
        <v>240</v>
      </c>
      <c r="H44" s="87">
        <f>240</f>
        <v>240</v>
      </c>
      <c r="I44" s="88">
        <f t="shared" si="0"/>
        <v>0</v>
      </c>
      <c r="J44" s="81">
        <v>10.58</v>
      </c>
      <c r="K44" s="90">
        <f t="shared" si="1"/>
        <v>13.3308</v>
      </c>
      <c r="L44" s="89">
        <f t="shared" si="2"/>
        <v>3199.3919999999998</v>
      </c>
      <c r="M44" s="103">
        <f>H44*K44</f>
        <v>3199.3919999999998</v>
      </c>
    </row>
    <row r="45" spans="1:16">
      <c r="A45" s="78" t="s">
        <v>228</v>
      </c>
      <c r="B45" s="80" t="s">
        <v>229</v>
      </c>
      <c r="C45" s="263" t="s">
        <v>230</v>
      </c>
      <c r="D45" s="263"/>
      <c r="E45" s="80"/>
      <c r="F45" s="81" t="s">
        <v>23</v>
      </c>
      <c r="G45" s="81">
        <v>120</v>
      </c>
      <c r="H45" s="87">
        <f>120</f>
        <v>120</v>
      </c>
      <c r="I45" s="88">
        <f t="shared" si="0"/>
        <v>0</v>
      </c>
      <c r="J45" s="81">
        <v>11.03</v>
      </c>
      <c r="K45" s="90">
        <f t="shared" si="1"/>
        <v>13.8978</v>
      </c>
      <c r="L45" s="89">
        <f t="shared" si="2"/>
        <v>1667.7360000000001</v>
      </c>
      <c r="M45" s="103">
        <f t="shared" ref="M45:M63" si="4">H45*K45</f>
        <v>1667.7360000000001</v>
      </c>
    </row>
    <row r="46" spans="1:16">
      <c r="A46" s="78" t="s">
        <v>231</v>
      </c>
      <c r="B46" s="80" t="s">
        <v>137</v>
      </c>
      <c r="C46" s="263" t="s">
        <v>232</v>
      </c>
      <c r="D46" s="263"/>
      <c r="E46" s="80"/>
      <c r="F46" s="81" t="s">
        <v>165</v>
      </c>
      <c r="G46" s="81">
        <v>1</v>
      </c>
      <c r="H46" s="87">
        <f>G46</f>
        <v>1</v>
      </c>
      <c r="I46" s="88">
        <f t="shared" si="0"/>
        <v>0</v>
      </c>
      <c r="J46" s="81">
        <v>1546.05</v>
      </c>
      <c r="K46" s="90">
        <f t="shared" si="1"/>
        <v>1948.0229999999999</v>
      </c>
      <c r="L46" s="89">
        <f t="shared" si="2"/>
        <v>1948.0229999999999</v>
      </c>
      <c r="M46" s="103">
        <f t="shared" si="4"/>
        <v>1948.0229999999999</v>
      </c>
    </row>
    <row r="47" spans="1:16">
      <c r="A47" s="78" t="s">
        <v>233</v>
      </c>
      <c r="B47" s="80" t="s">
        <v>234</v>
      </c>
      <c r="C47" s="263" t="s">
        <v>235</v>
      </c>
      <c r="D47" s="263"/>
      <c r="E47" s="80"/>
      <c r="F47" s="81" t="s">
        <v>165</v>
      </c>
      <c r="G47" s="81">
        <v>1</v>
      </c>
      <c r="H47" s="87">
        <f t="shared" ref="H47:H62" si="5">G47</f>
        <v>1</v>
      </c>
      <c r="I47" s="88">
        <f t="shared" si="0"/>
        <v>0</v>
      </c>
      <c r="J47" s="81">
        <v>161.35</v>
      </c>
      <c r="K47" s="90">
        <f t="shared" si="1"/>
        <v>203.30099999999999</v>
      </c>
      <c r="L47" s="89">
        <f t="shared" si="2"/>
        <v>203.30099999999999</v>
      </c>
      <c r="M47" s="103">
        <f t="shared" si="4"/>
        <v>203.30099999999999</v>
      </c>
    </row>
    <row r="48" spans="1:16" ht="29.25" customHeight="1">
      <c r="A48" s="78" t="s">
        <v>236</v>
      </c>
      <c r="B48" s="80" t="s">
        <v>237</v>
      </c>
      <c r="C48" s="268" t="s">
        <v>238</v>
      </c>
      <c r="D48" s="268"/>
      <c r="E48" s="80"/>
      <c r="F48" s="81" t="s">
        <v>23</v>
      </c>
      <c r="G48" s="81">
        <v>260</v>
      </c>
      <c r="H48" s="87">
        <f t="shared" si="5"/>
        <v>260</v>
      </c>
      <c r="I48" s="88">
        <f t="shared" si="0"/>
        <v>0</v>
      </c>
      <c r="J48" s="81">
        <v>8.86</v>
      </c>
      <c r="K48" s="90">
        <f t="shared" si="1"/>
        <v>11.163599999999999</v>
      </c>
      <c r="L48" s="89">
        <f t="shared" si="2"/>
        <v>2902.5359999999996</v>
      </c>
      <c r="M48" s="103">
        <f t="shared" si="4"/>
        <v>2902.5359999999996</v>
      </c>
    </row>
    <row r="49" spans="1:15" ht="29.25" customHeight="1">
      <c r="A49" s="78" t="s">
        <v>239</v>
      </c>
      <c r="B49" s="80" t="s">
        <v>240</v>
      </c>
      <c r="C49" s="268" t="s">
        <v>241</v>
      </c>
      <c r="D49" s="268"/>
      <c r="E49" s="80"/>
      <c r="F49" s="81" t="s">
        <v>23</v>
      </c>
      <c r="G49" s="81">
        <v>10</v>
      </c>
      <c r="H49" s="87">
        <f t="shared" si="5"/>
        <v>10</v>
      </c>
      <c r="I49" s="88">
        <f t="shared" si="0"/>
        <v>0</v>
      </c>
      <c r="J49" s="81">
        <v>6.31</v>
      </c>
      <c r="K49" s="90">
        <f t="shared" si="1"/>
        <v>7.9505999999999997</v>
      </c>
      <c r="L49" s="89">
        <f t="shared" si="2"/>
        <v>79.506</v>
      </c>
      <c r="M49" s="103">
        <f t="shared" si="4"/>
        <v>79.506</v>
      </c>
    </row>
    <row r="50" spans="1:15">
      <c r="A50" s="78" t="s">
        <v>242</v>
      </c>
      <c r="B50" s="80" t="s">
        <v>243</v>
      </c>
      <c r="C50" s="263" t="s">
        <v>244</v>
      </c>
      <c r="D50" s="263"/>
      <c r="E50" s="80"/>
      <c r="F50" s="81" t="s">
        <v>23</v>
      </c>
      <c r="G50" s="91">
        <v>1100</v>
      </c>
      <c r="H50" s="87">
        <f t="shared" si="5"/>
        <v>1100</v>
      </c>
      <c r="I50" s="88">
        <f t="shared" si="0"/>
        <v>0</v>
      </c>
      <c r="J50" s="81">
        <v>3.5</v>
      </c>
      <c r="K50" s="90">
        <f t="shared" si="1"/>
        <v>4.41</v>
      </c>
      <c r="L50" s="89">
        <f t="shared" si="2"/>
        <v>4851</v>
      </c>
      <c r="M50" s="103">
        <f t="shared" si="4"/>
        <v>4851</v>
      </c>
    </row>
    <row r="51" spans="1:15">
      <c r="A51" s="78" t="s">
        <v>245</v>
      </c>
      <c r="B51" s="80" t="s">
        <v>246</v>
      </c>
      <c r="C51" s="263" t="s">
        <v>247</v>
      </c>
      <c r="D51" s="263"/>
      <c r="E51" s="80"/>
      <c r="F51" s="81" t="s">
        <v>23</v>
      </c>
      <c r="G51" s="81">
        <v>550</v>
      </c>
      <c r="H51" s="87">
        <f t="shared" si="5"/>
        <v>550</v>
      </c>
      <c r="I51" s="88">
        <f t="shared" si="0"/>
        <v>0</v>
      </c>
      <c r="J51" s="81">
        <v>3.5</v>
      </c>
      <c r="K51" s="90">
        <f t="shared" si="1"/>
        <v>4.41</v>
      </c>
      <c r="L51" s="89">
        <f t="shared" si="2"/>
        <v>2425.5</v>
      </c>
      <c r="M51" s="103">
        <f t="shared" si="4"/>
        <v>2425.5</v>
      </c>
    </row>
    <row r="52" spans="1:15">
      <c r="A52" s="78" t="s">
        <v>248</v>
      </c>
      <c r="B52" s="80" t="s">
        <v>249</v>
      </c>
      <c r="C52" s="263" t="s">
        <v>250</v>
      </c>
      <c r="D52" s="263"/>
      <c r="E52" s="80"/>
      <c r="F52" s="81" t="s">
        <v>23</v>
      </c>
      <c r="G52" s="81">
        <v>550</v>
      </c>
      <c r="H52" s="87">
        <f t="shared" si="5"/>
        <v>550</v>
      </c>
      <c r="I52" s="88">
        <f t="shared" si="0"/>
        <v>0</v>
      </c>
      <c r="J52" s="81">
        <v>3</v>
      </c>
      <c r="K52" s="90">
        <f t="shared" si="1"/>
        <v>3.7800000000000002</v>
      </c>
      <c r="L52" s="89">
        <f t="shared" si="2"/>
        <v>2079</v>
      </c>
      <c r="M52" s="103">
        <f t="shared" si="4"/>
        <v>2079</v>
      </c>
    </row>
    <row r="53" spans="1:15">
      <c r="A53" s="78" t="s">
        <v>251</v>
      </c>
      <c r="B53" s="80" t="s">
        <v>252</v>
      </c>
      <c r="C53" s="263" t="s">
        <v>253</v>
      </c>
      <c r="D53" s="263"/>
      <c r="E53" s="80"/>
      <c r="F53" s="81" t="s">
        <v>23</v>
      </c>
      <c r="G53" s="81">
        <v>300</v>
      </c>
      <c r="H53" s="87">
        <f t="shared" si="5"/>
        <v>300</v>
      </c>
      <c r="I53" s="88">
        <f t="shared" si="0"/>
        <v>0</v>
      </c>
      <c r="J53" s="81">
        <v>3.5</v>
      </c>
      <c r="K53" s="90">
        <f t="shared" si="1"/>
        <v>4.41</v>
      </c>
      <c r="L53" s="89">
        <f t="shared" si="2"/>
        <v>1323</v>
      </c>
      <c r="M53" s="103">
        <f t="shared" si="4"/>
        <v>1323</v>
      </c>
    </row>
    <row r="54" spans="1:15">
      <c r="A54" s="78" t="s">
        <v>254</v>
      </c>
      <c r="B54" s="80" t="s">
        <v>255</v>
      </c>
      <c r="C54" s="263" t="s">
        <v>256</v>
      </c>
      <c r="D54" s="263"/>
      <c r="E54" s="80"/>
      <c r="F54" s="81" t="s">
        <v>165</v>
      </c>
      <c r="G54" s="81">
        <v>2</v>
      </c>
      <c r="H54" s="87">
        <f t="shared" si="5"/>
        <v>2</v>
      </c>
      <c r="I54" s="88">
        <f t="shared" si="0"/>
        <v>0</v>
      </c>
      <c r="J54" s="81">
        <v>60</v>
      </c>
      <c r="K54" s="90">
        <f t="shared" si="1"/>
        <v>75.599999999999994</v>
      </c>
      <c r="L54" s="89">
        <f t="shared" si="2"/>
        <v>151.19999999999999</v>
      </c>
      <c r="M54" s="103">
        <f t="shared" si="4"/>
        <v>151.19999999999999</v>
      </c>
    </row>
    <row r="55" spans="1:15">
      <c r="A55" s="78" t="s">
        <v>257</v>
      </c>
      <c r="B55" s="80" t="s">
        <v>258</v>
      </c>
      <c r="C55" s="263" t="s">
        <v>259</v>
      </c>
      <c r="D55" s="263"/>
      <c r="E55" s="80"/>
      <c r="F55" s="81" t="s">
        <v>165</v>
      </c>
      <c r="G55" s="81">
        <v>6</v>
      </c>
      <c r="H55" s="87">
        <f t="shared" si="5"/>
        <v>6</v>
      </c>
      <c r="I55" s="88">
        <f t="shared" si="0"/>
        <v>0</v>
      </c>
      <c r="J55" s="81">
        <v>29.8</v>
      </c>
      <c r="K55" s="90">
        <f t="shared" si="1"/>
        <v>37.548000000000002</v>
      </c>
      <c r="L55" s="89">
        <f t="shared" si="2"/>
        <v>225.28800000000001</v>
      </c>
      <c r="M55" s="103">
        <f t="shared" si="4"/>
        <v>225.28800000000001</v>
      </c>
    </row>
    <row r="56" spans="1:15">
      <c r="A56" s="78" t="s">
        <v>260</v>
      </c>
      <c r="B56" s="80" t="s">
        <v>261</v>
      </c>
      <c r="C56" s="263" t="s">
        <v>262</v>
      </c>
      <c r="D56" s="263"/>
      <c r="E56" s="80"/>
      <c r="F56" s="81" t="s">
        <v>165</v>
      </c>
      <c r="G56" s="81">
        <v>1</v>
      </c>
      <c r="H56" s="87">
        <f t="shared" si="5"/>
        <v>1</v>
      </c>
      <c r="I56" s="88">
        <f t="shared" si="0"/>
        <v>0</v>
      </c>
      <c r="J56" s="81">
        <v>29.8</v>
      </c>
      <c r="K56" s="90">
        <f t="shared" si="1"/>
        <v>37.548000000000002</v>
      </c>
      <c r="L56" s="89">
        <f t="shared" si="2"/>
        <v>37.548000000000002</v>
      </c>
      <c r="M56" s="103">
        <f t="shared" si="4"/>
        <v>37.548000000000002</v>
      </c>
    </row>
    <row r="57" spans="1:15">
      <c r="A57" s="78" t="s">
        <v>263</v>
      </c>
      <c r="B57" s="80" t="s">
        <v>264</v>
      </c>
      <c r="C57" s="263" t="s">
        <v>265</v>
      </c>
      <c r="D57" s="263"/>
      <c r="E57" s="80"/>
      <c r="F57" s="81" t="s">
        <v>165</v>
      </c>
      <c r="G57" s="81">
        <v>2</v>
      </c>
      <c r="H57" s="87">
        <f t="shared" si="5"/>
        <v>2</v>
      </c>
      <c r="I57" s="88">
        <f t="shared" si="0"/>
        <v>0</v>
      </c>
      <c r="J57" s="81">
        <v>15</v>
      </c>
      <c r="K57" s="90">
        <f t="shared" si="1"/>
        <v>18.899999999999999</v>
      </c>
      <c r="L57" s="89">
        <f t="shared" si="2"/>
        <v>37.799999999999997</v>
      </c>
      <c r="M57" s="103">
        <f t="shared" si="4"/>
        <v>37.799999999999997</v>
      </c>
    </row>
    <row r="58" spans="1:15">
      <c r="A58" s="78" t="s">
        <v>266</v>
      </c>
      <c r="B58" s="80" t="s">
        <v>267</v>
      </c>
      <c r="C58" s="263" t="s">
        <v>268</v>
      </c>
      <c r="D58" s="263"/>
      <c r="E58" s="80"/>
      <c r="F58" s="81" t="s">
        <v>165</v>
      </c>
      <c r="G58" s="81">
        <v>6</v>
      </c>
      <c r="H58" s="87">
        <f t="shared" si="5"/>
        <v>6</v>
      </c>
      <c r="I58" s="88">
        <f t="shared" si="0"/>
        <v>0</v>
      </c>
      <c r="J58" s="81">
        <v>56.69</v>
      </c>
      <c r="K58" s="90">
        <f t="shared" si="1"/>
        <v>71.429400000000001</v>
      </c>
      <c r="L58" s="89">
        <f t="shared" si="2"/>
        <v>428.57640000000004</v>
      </c>
      <c r="M58" s="103">
        <f t="shared" si="4"/>
        <v>428.57640000000004</v>
      </c>
    </row>
    <row r="59" spans="1:15">
      <c r="A59" s="78" t="s">
        <v>269</v>
      </c>
      <c r="B59" s="80" t="s">
        <v>270</v>
      </c>
      <c r="C59" s="263" t="s">
        <v>271</v>
      </c>
      <c r="D59" s="263"/>
      <c r="E59" s="80"/>
      <c r="F59" s="81" t="s">
        <v>165</v>
      </c>
      <c r="G59" s="81">
        <v>10</v>
      </c>
      <c r="H59" s="87">
        <f t="shared" si="5"/>
        <v>10</v>
      </c>
      <c r="I59" s="88">
        <f t="shared" si="0"/>
        <v>0</v>
      </c>
      <c r="J59" s="81">
        <v>6</v>
      </c>
      <c r="K59" s="90">
        <f t="shared" si="1"/>
        <v>7.5600000000000005</v>
      </c>
      <c r="L59" s="89">
        <f t="shared" si="2"/>
        <v>75.600000000000009</v>
      </c>
      <c r="M59" s="103">
        <f t="shared" si="4"/>
        <v>75.600000000000009</v>
      </c>
    </row>
    <row r="60" spans="1:15">
      <c r="A60" s="78" t="s">
        <v>272</v>
      </c>
      <c r="B60" s="80" t="s">
        <v>273</v>
      </c>
      <c r="C60" s="263" t="s">
        <v>274</v>
      </c>
      <c r="D60" s="263"/>
      <c r="E60" s="80"/>
      <c r="F60" s="81" t="s">
        <v>165</v>
      </c>
      <c r="G60" s="81">
        <v>8</v>
      </c>
      <c r="H60" s="87">
        <f t="shared" si="5"/>
        <v>8</v>
      </c>
      <c r="I60" s="88">
        <f t="shared" si="0"/>
        <v>0</v>
      </c>
      <c r="J60" s="81">
        <v>6.1</v>
      </c>
      <c r="K60" s="90">
        <f t="shared" si="1"/>
        <v>7.6859999999999999</v>
      </c>
      <c r="L60" s="89">
        <f t="shared" si="2"/>
        <v>61.488</v>
      </c>
      <c r="M60" s="103">
        <f t="shared" si="4"/>
        <v>61.488</v>
      </c>
    </row>
    <row r="61" spans="1:15">
      <c r="A61" s="78" t="s">
        <v>275</v>
      </c>
      <c r="B61" s="80" t="s">
        <v>276</v>
      </c>
      <c r="C61" s="263" t="s">
        <v>277</v>
      </c>
      <c r="D61" s="263"/>
      <c r="E61" s="80"/>
      <c r="F61" s="81" t="s">
        <v>165</v>
      </c>
      <c r="G61" s="81">
        <v>26</v>
      </c>
      <c r="H61" s="87">
        <f t="shared" si="5"/>
        <v>26</v>
      </c>
      <c r="I61" s="88">
        <f t="shared" si="0"/>
        <v>0</v>
      </c>
      <c r="J61" s="81">
        <v>11.45</v>
      </c>
      <c r="K61" s="90">
        <f t="shared" si="1"/>
        <v>14.427</v>
      </c>
      <c r="L61" s="89">
        <f t="shared" si="2"/>
        <v>375.10199999999998</v>
      </c>
      <c r="M61" s="103">
        <f t="shared" si="4"/>
        <v>375.10199999999998</v>
      </c>
    </row>
    <row r="62" spans="1:15">
      <c r="A62" s="78" t="s">
        <v>278</v>
      </c>
      <c r="B62" s="80" t="s">
        <v>139</v>
      </c>
      <c r="C62" s="263" t="s">
        <v>279</v>
      </c>
      <c r="D62" s="263"/>
      <c r="E62" s="80"/>
      <c r="F62" s="81" t="s">
        <v>165</v>
      </c>
      <c r="G62" s="81">
        <v>6</v>
      </c>
      <c r="H62" s="87">
        <f t="shared" si="5"/>
        <v>6</v>
      </c>
      <c r="I62" s="88">
        <f t="shared" si="0"/>
        <v>0</v>
      </c>
      <c r="J62" s="81">
        <v>40.9</v>
      </c>
      <c r="K62" s="90">
        <f t="shared" si="1"/>
        <v>51.533999999999999</v>
      </c>
      <c r="L62" s="89">
        <f t="shared" si="2"/>
        <v>309.20400000000001</v>
      </c>
      <c r="M62" s="103">
        <f t="shared" si="4"/>
        <v>309.20400000000001</v>
      </c>
    </row>
    <row r="63" spans="1:15" ht="30.75" customHeight="1">
      <c r="A63" s="78" t="s">
        <v>280</v>
      </c>
      <c r="B63" s="80" t="s">
        <v>281</v>
      </c>
      <c r="C63" s="268" t="s">
        <v>282</v>
      </c>
      <c r="D63" s="268"/>
      <c r="E63" s="80"/>
      <c r="F63" s="81" t="s">
        <v>165</v>
      </c>
      <c r="G63" s="81">
        <v>26</v>
      </c>
      <c r="H63" s="87"/>
      <c r="I63" s="88">
        <f t="shared" si="0"/>
        <v>26</v>
      </c>
      <c r="J63" s="81">
        <v>1389.11</v>
      </c>
      <c r="K63" s="90">
        <f t="shared" si="1"/>
        <v>1750.2785999999999</v>
      </c>
      <c r="L63" s="89">
        <f t="shared" si="2"/>
        <v>45507.243599999994</v>
      </c>
      <c r="M63" s="103">
        <f t="shared" si="4"/>
        <v>0</v>
      </c>
    </row>
    <row r="64" spans="1:15">
      <c r="A64" s="80"/>
      <c r="B64" s="80"/>
      <c r="C64" s="263"/>
      <c r="D64" s="263"/>
      <c r="E64" s="80"/>
      <c r="F64" s="81"/>
      <c r="G64" s="81"/>
      <c r="H64" s="87"/>
      <c r="I64" s="88">
        <f t="shared" si="0"/>
        <v>0</v>
      </c>
      <c r="J64" s="81"/>
      <c r="K64" s="90"/>
      <c r="L64" s="89"/>
      <c r="M64" s="103">
        <f>SUM(M44:M63)</f>
        <v>22380.8004</v>
      </c>
      <c r="N64" s="103">
        <f>SUM(L44:L63)</f>
        <v>67888.043999999994</v>
      </c>
      <c r="O64" s="102">
        <f>M64/N64</f>
        <v>0.32967219382546953</v>
      </c>
    </row>
    <row r="65" spans="1:15" s="115" customFormat="1">
      <c r="A65" s="111">
        <v>6</v>
      </c>
      <c r="B65" s="112"/>
      <c r="C65" s="311" t="s">
        <v>283</v>
      </c>
      <c r="D65" s="311"/>
      <c r="E65" s="112"/>
      <c r="F65" s="111"/>
      <c r="G65" s="111"/>
      <c r="H65" s="111"/>
      <c r="I65" s="111">
        <f t="shared" si="0"/>
        <v>0</v>
      </c>
      <c r="J65" s="111"/>
      <c r="K65" s="113"/>
      <c r="L65" s="114"/>
    </row>
    <row r="66" spans="1:15">
      <c r="A66" s="78" t="s">
        <v>284</v>
      </c>
      <c r="B66" s="80"/>
      <c r="C66" s="263" t="s">
        <v>285</v>
      </c>
      <c r="D66" s="263"/>
      <c r="E66" s="80"/>
      <c r="F66" s="81"/>
      <c r="G66" s="81">
        <f>505.27</f>
        <v>505.27</v>
      </c>
      <c r="H66" s="87"/>
      <c r="I66" s="88">
        <f t="shared" si="0"/>
        <v>505.27</v>
      </c>
      <c r="J66" s="81"/>
      <c r="K66" s="90"/>
      <c r="L66" s="89"/>
    </row>
    <row r="67" spans="1:15" ht="30" customHeight="1">
      <c r="A67" s="78" t="s">
        <v>286</v>
      </c>
      <c r="B67" s="80" t="s">
        <v>86</v>
      </c>
      <c r="C67" s="268" t="s">
        <v>287</v>
      </c>
      <c r="D67" s="268"/>
      <c r="E67" s="80"/>
      <c r="F67" s="81" t="s">
        <v>161</v>
      </c>
      <c r="G67" s="91">
        <v>1099.76</v>
      </c>
      <c r="H67" s="92">
        <f>934.8+164.96</f>
        <v>1099.76</v>
      </c>
      <c r="I67" s="88">
        <f t="shared" si="0"/>
        <v>0</v>
      </c>
      <c r="J67" s="81">
        <v>37.25</v>
      </c>
      <c r="K67" s="90">
        <f t="shared" si="1"/>
        <v>46.935000000000002</v>
      </c>
      <c r="L67" s="89">
        <f t="shared" si="2"/>
        <v>51617.2356</v>
      </c>
      <c r="M67" s="103">
        <f>H67*K67</f>
        <v>51617.2356</v>
      </c>
    </row>
    <row r="68" spans="1:15" ht="30.75" customHeight="1">
      <c r="A68" s="78" t="s">
        <v>288</v>
      </c>
      <c r="B68" s="80" t="s">
        <v>289</v>
      </c>
      <c r="C68" s="268" t="s">
        <v>290</v>
      </c>
      <c r="D68" s="268"/>
      <c r="E68" s="80"/>
      <c r="F68" s="81" t="s">
        <v>161</v>
      </c>
      <c r="G68" s="81">
        <v>999.18</v>
      </c>
      <c r="H68" s="87">
        <v>505.27</v>
      </c>
      <c r="I68" s="88">
        <f t="shared" si="0"/>
        <v>493.90999999999997</v>
      </c>
      <c r="J68" s="81">
        <v>58.15</v>
      </c>
      <c r="K68" s="90">
        <f t="shared" si="1"/>
        <v>73.269000000000005</v>
      </c>
      <c r="L68" s="89">
        <f t="shared" si="2"/>
        <v>73208.919420000006</v>
      </c>
      <c r="M68" s="103">
        <f>H68*K68</f>
        <v>37020.627630000003</v>
      </c>
    </row>
    <row r="69" spans="1:15">
      <c r="A69" s="80"/>
      <c r="B69" s="80"/>
      <c r="C69" s="266"/>
      <c r="D69" s="266"/>
      <c r="E69" s="80"/>
      <c r="F69" s="81"/>
      <c r="G69" s="81"/>
      <c r="H69" s="87"/>
      <c r="I69" s="88">
        <f t="shared" si="0"/>
        <v>0</v>
      </c>
      <c r="J69" s="81"/>
      <c r="K69" s="90"/>
      <c r="L69" s="89"/>
      <c r="M69" s="103">
        <f>SUM(M67:M68)</f>
        <v>88637.863230000003</v>
      </c>
      <c r="N69" s="103">
        <f>SUM(L67:L68)</f>
        <v>124826.15502000001</v>
      </c>
      <c r="O69" s="102">
        <f>M69/N69</f>
        <v>0.7100904711500422</v>
      </c>
    </row>
    <row r="70" spans="1:15" s="115" customFormat="1">
      <c r="A70" s="111">
        <v>7</v>
      </c>
      <c r="B70" s="112"/>
      <c r="C70" s="311" t="s">
        <v>91</v>
      </c>
      <c r="D70" s="311"/>
      <c r="E70" s="112"/>
      <c r="F70" s="111"/>
      <c r="G70" s="111"/>
      <c r="H70" s="111"/>
      <c r="I70" s="111">
        <f t="shared" si="0"/>
        <v>0</v>
      </c>
      <c r="J70" s="111"/>
      <c r="K70" s="113"/>
      <c r="L70" s="114"/>
    </row>
    <row r="71" spans="1:15">
      <c r="A71" s="78" t="s">
        <v>291</v>
      </c>
      <c r="B71" s="80"/>
      <c r="C71" s="263" t="s">
        <v>292</v>
      </c>
      <c r="D71" s="263"/>
      <c r="E71" s="80"/>
      <c r="F71" s="81"/>
      <c r="G71" s="81"/>
      <c r="H71" s="87"/>
      <c r="I71" s="88">
        <f t="shared" si="0"/>
        <v>0</v>
      </c>
      <c r="J71" s="81"/>
      <c r="K71" s="90"/>
      <c r="L71" s="89"/>
    </row>
    <row r="72" spans="1:15">
      <c r="A72" s="78" t="s">
        <v>293</v>
      </c>
      <c r="B72" s="80" t="s">
        <v>294</v>
      </c>
      <c r="C72" s="263" t="s">
        <v>295</v>
      </c>
      <c r="D72" s="263"/>
      <c r="E72" s="80"/>
      <c r="F72" s="81" t="s">
        <v>161</v>
      </c>
      <c r="G72" s="81">
        <v>196.37</v>
      </c>
      <c r="H72" s="87">
        <f>196.37</f>
        <v>196.37</v>
      </c>
      <c r="I72" s="88">
        <f t="shared" si="0"/>
        <v>0</v>
      </c>
      <c r="J72" s="81">
        <v>30.32</v>
      </c>
      <c r="K72" s="90">
        <f t="shared" si="1"/>
        <v>38.203200000000002</v>
      </c>
      <c r="L72" s="89">
        <f t="shared" si="2"/>
        <v>7501.9623840000004</v>
      </c>
      <c r="M72" s="103">
        <f>H72*K72</f>
        <v>7501.9623840000004</v>
      </c>
    </row>
    <row r="73" spans="1:15" ht="30.75" customHeight="1">
      <c r="A73" s="78" t="s">
        <v>296</v>
      </c>
      <c r="B73" s="80" t="s">
        <v>297</v>
      </c>
      <c r="C73" s="268" t="s">
        <v>298</v>
      </c>
      <c r="D73" s="268"/>
      <c r="E73" s="80"/>
      <c r="F73" s="81" t="s">
        <v>299</v>
      </c>
      <c r="G73" s="81">
        <v>14.55</v>
      </c>
      <c r="H73" s="87">
        <f>14.55</f>
        <v>14.55</v>
      </c>
      <c r="I73" s="88">
        <f t="shared" si="0"/>
        <v>0</v>
      </c>
      <c r="J73" s="81">
        <v>1130</v>
      </c>
      <c r="K73" s="90">
        <f t="shared" si="1"/>
        <v>1423.8</v>
      </c>
      <c r="L73" s="89">
        <f t="shared" si="2"/>
        <v>20716.29</v>
      </c>
      <c r="M73" s="103">
        <f t="shared" ref="M73:M81" si="6">H73*K73</f>
        <v>20716.29</v>
      </c>
    </row>
    <row r="74" spans="1:15">
      <c r="A74" s="78" t="s">
        <v>300</v>
      </c>
      <c r="B74" s="80" t="s">
        <v>301</v>
      </c>
      <c r="C74" s="263" t="s">
        <v>302</v>
      </c>
      <c r="D74" s="263"/>
      <c r="E74" s="80"/>
      <c r="F74" s="81" t="s">
        <v>299</v>
      </c>
      <c r="G74" s="81">
        <v>766.52</v>
      </c>
      <c r="H74" s="87">
        <f>766.52</f>
        <v>766.52</v>
      </c>
      <c r="I74" s="88">
        <f t="shared" si="0"/>
        <v>0</v>
      </c>
      <c r="J74" s="81">
        <v>25</v>
      </c>
      <c r="K74" s="90">
        <f t="shared" si="1"/>
        <v>31.5</v>
      </c>
      <c r="L74" s="89">
        <f t="shared" si="2"/>
        <v>24145.38</v>
      </c>
      <c r="M74" s="103">
        <f t="shared" si="6"/>
        <v>24145.38</v>
      </c>
    </row>
    <row r="75" spans="1:15">
      <c r="A75" s="78" t="s">
        <v>303</v>
      </c>
      <c r="B75" s="80" t="s">
        <v>304</v>
      </c>
      <c r="C75" s="263" t="s">
        <v>305</v>
      </c>
      <c r="D75" s="263"/>
      <c r="E75" s="80"/>
      <c r="F75" s="81" t="s">
        <v>161</v>
      </c>
      <c r="G75" s="81">
        <v>232.74</v>
      </c>
      <c r="H75" s="87">
        <v>232.74</v>
      </c>
      <c r="I75" s="88">
        <f t="shared" ref="I75:I81" si="7">G75-H75</f>
        <v>0</v>
      </c>
      <c r="J75" s="81">
        <v>3.59</v>
      </c>
      <c r="K75" s="90">
        <f t="shared" ref="K75:K81" si="8">(J75*0.26)+J75</f>
        <v>4.5233999999999996</v>
      </c>
      <c r="L75" s="89">
        <f t="shared" ref="L75:L81" si="9">G75*K75</f>
        <v>1052.776116</v>
      </c>
      <c r="M75" s="103">
        <f t="shared" si="6"/>
        <v>1052.776116</v>
      </c>
    </row>
    <row r="76" spans="1:15" ht="30.75" customHeight="1">
      <c r="A76" s="78" t="s">
        <v>306</v>
      </c>
      <c r="B76" s="80" t="s">
        <v>307</v>
      </c>
      <c r="C76" s="268" t="s">
        <v>308</v>
      </c>
      <c r="D76" s="268"/>
      <c r="E76" s="80"/>
      <c r="F76" s="81" t="s">
        <v>161</v>
      </c>
      <c r="G76" s="81">
        <v>232.74</v>
      </c>
      <c r="H76" s="87">
        <v>232.74</v>
      </c>
      <c r="I76" s="88">
        <f t="shared" si="7"/>
        <v>0</v>
      </c>
      <c r="J76" s="81">
        <v>21.12</v>
      </c>
      <c r="K76" s="90">
        <f t="shared" si="8"/>
        <v>26.6112</v>
      </c>
      <c r="L76" s="89">
        <f t="shared" si="9"/>
        <v>6193.4906879999999</v>
      </c>
      <c r="M76" s="103">
        <f t="shared" si="6"/>
        <v>6193.4906879999999</v>
      </c>
    </row>
    <row r="77" spans="1:15">
      <c r="A77" s="78" t="s">
        <v>309</v>
      </c>
      <c r="B77" s="80" t="s">
        <v>92</v>
      </c>
      <c r="C77" s="265" t="s">
        <v>93</v>
      </c>
      <c r="D77" s="265"/>
      <c r="E77" s="80"/>
      <c r="F77" s="81" t="s">
        <v>161</v>
      </c>
      <c r="G77" s="81">
        <v>232.74</v>
      </c>
      <c r="H77" s="87">
        <f>G77</f>
        <v>232.74</v>
      </c>
      <c r="I77" s="88">
        <f t="shared" si="7"/>
        <v>0</v>
      </c>
      <c r="J77" s="81">
        <v>3.3</v>
      </c>
      <c r="K77" s="90">
        <f t="shared" si="8"/>
        <v>4.1579999999999995</v>
      </c>
      <c r="L77" s="89">
        <f t="shared" si="9"/>
        <v>967.73291999999992</v>
      </c>
      <c r="M77" s="103">
        <f t="shared" si="6"/>
        <v>967.73291999999992</v>
      </c>
    </row>
    <row r="78" spans="1:15" ht="33" customHeight="1">
      <c r="A78" s="78" t="s">
        <v>310</v>
      </c>
      <c r="B78" s="80" t="s">
        <v>94</v>
      </c>
      <c r="C78" s="268" t="s">
        <v>311</v>
      </c>
      <c r="D78" s="268"/>
      <c r="E78" s="80"/>
      <c r="F78" s="81" t="s">
        <v>161</v>
      </c>
      <c r="G78" s="81">
        <v>232.74</v>
      </c>
      <c r="H78" s="87">
        <f>G78</f>
        <v>232.74</v>
      </c>
      <c r="I78" s="88">
        <f t="shared" si="7"/>
        <v>0</v>
      </c>
      <c r="J78" s="81">
        <v>9.35</v>
      </c>
      <c r="K78" s="90">
        <f t="shared" si="8"/>
        <v>11.780999999999999</v>
      </c>
      <c r="L78" s="89">
        <f t="shared" si="9"/>
        <v>2741.90994</v>
      </c>
      <c r="M78" s="103">
        <f t="shared" si="6"/>
        <v>2741.90994</v>
      </c>
    </row>
    <row r="79" spans="1:15" ht="30.75" customHeight="1">
      <c r="A79" s="78" t="s">
        <v>312</v>
      </c>
      <c r="B79" s="80" t="s">
        <v>313</v>
      </c>
      <c r="C79" s="268" t="s">
        <v>314</v>
      </c>
      <c r="D79" s="268"/>
      <c r="E79" s="80"/>
      <c r="F79" s="81" t="s">
        <v>161</v>
      </c>
      <c r="G79" s="81">
        <v>564.37</v>
      </c>
      <c r="H79" s="87">
        <f>G79</f>
        <v>564.37</v>
      </c>
      <c r="I79" s="88">
        <f t="shared" si="7"/>
        <v>0</v>
      </c>
      <c r="J79" s="81">
        <v>29.75</v>
      </c>
      <c r="K79" s="90">
        <f t="shared" si="8"/>
        <v>37.484999999999999</v>
      </c>
      <c r="L79" s="89">
        <f t="shared" si="9"/>
        <v>21155.409449999999</v>
      </c>
      <c r="M79" s="103">
        <f t="shared" si="6"/>
        <v>21155.409449999999</v>
      </c>
    </row>
    <row r="80" spans="1:15" ht="30" customHeight="1">
      <c r="A80" s="78" t="s">
        <v>315</v>
      </c>
      <c r="B80" s="80" t="s">
        <v>316</v>
      </c>
      <c r="C80" s="268" t="s">
        <v>317</v>
      </c>
      <c r="D80" s="268"/>
      <c r="E80" s="80"/>
      <c r="F80" s="81" t="s">
        <v>299</v>
      </c>
      <c r="G80" s="81">
        <v>6.2</v>
      </c>
      <c r="H80" s="87">
        <v>6.2</v>
      </c>
      <c r="I80" s="88">
        <f t="shared" si="7"/>
        <v>0</v>
      </c>
      <c r="J80" s="81">
        <v>1771.35</v>
      </c>
      <c r="K80" s="90">
        <f t="shared" si="8"/>
        <v>2231.9009999999998</v>
      </c>
      <c r="L80" s="89">
        <f t="shared" si="9"/>
        <v>13837.786199999999</v>
      </c>
      <c r="M80" s="103">
        <f t="shared" si="6"/>
        <v>13837.786199999999</v>
      </c>
    </row>
    <row r="81" spans="1:15" ht="30" customHeight="1">
      <c r="A81" s="78" t="s">
        <v>318</v>
      </c>
      <c r="B81" s="80" t="s">
        <v>319</v>
      </c>
      <c r="C81" s="268" t="s">
        <v>320</v>
      </c>
      <c r="D81" s="268"/>
      <c r="E81" s="80"/>
      <c r="F81" s="81" t="s">
        <v>23</v>
      </c>
      <c r="G81" s="81">
        <v>139.66</v>
      </c>
      <c r="H81" s="87">
        <f>G81</f>
        <v>139.66</v>
      </c>
      <c r="I81" s="88">
        <f t="shared" si="7"/>
        <v>0</v>
      </c>
      <c r="J81" s="81">
        <v>273.14999999999998</v>
      </c>
      <c r="K81" s="90">
        <f t="shared" si="8"/>
        <v>344.16899999999998</v>
      </c>
      <c r="L81" s="89">
        <f t="shared" si="9"/>
        <v>48066.642539999993</v>
      </c>
      <c r="M81" s="103">
        <f t="shared" si="6"/>
        <v>48066.642539999993</v>
      </c>
    </row>
    <row r="82" spans="1:15">
      <c r="A82" s="80"/>
      <c r="B82" s="80"/>
      <c r="C82" s="266"/>
      <c r="D82" s="266"/>
      <c r="E82" s="80"/>
      <c r="F82" s="80"/>
      <c r="G82" s="81"/>
      <c r="H82" s="87"/>
      <c r="I82" s="88"/>
      <c r="J82" s="81"/>
      <c r="K82" s="81"/>
      <c r="L82" s="89"/>
    </row>
    <row r="83" spans="1:15" ht="15">
      <c r="A83" s="269" t="s">
        <v>38</v>
      </c>
      <c r="B83" s="269"/>
      <c r="C83" s="269"/>
      <c r="D83" s="269"/>
      <c r="E83" s="269"/>
      <c r="F83" s="269"/>
      <c r="G83" s="269"/>
      <c r="H83" s="269"/>
      <c r="I83" s="269"/>
      <c r="J83" s="269"/>
      <c r="K83" s="269"/>
      <c r="L83" s="93">
        <v>415578.43</v>
      </c>
      <c r="M83" s="103">
        <f>SUM(M72:M81)</f>
        <v>146379.38023799998</v>
      </c>
      <c r="N83" s="61">
        <f>SUM(L72:L81)</f>
        <v>146379.38023799998</v>
      </c>
      <c r="O83" s="102">
        <f>M83/N83</f>
        <v>1</v>
      </c>
    </row>
    <row r="85" spans="1:15">
      <c r="L85">
        <v>308847.21999999997</v>
      </c>
    </row>
    <row r="86" spans="1:15">
      <c r="L86" s="102">
        <f>L85/L83</f>
        <v>0.74317432692548546</v>
      </c>
    </row>
  </sheetData>
  <mergeCells count="86">
    <mergeCell ref="C9:E9"/>
    <mergeCell ref="C10:E10"/>
    <mergeCell ref="C11:E11"/>
    <mergeCell ref="D4:L4"/>
    <mergeCell ref="A1:L1"/>
    <mergeCell ref="A2:F2"/>
    <mergeCell ref="G2:L2"/>
    <mergeCell ref="A3:F3"/>
    <mergeCell ref="G3:L3"/>
    <mergeCell ref="D5:J6"/>
    <mergeCell ref="K5:L5"/>
    <mergeCell ref="K6:L6"/>
    <mergeCell ref="C7:E7"/>
    <mergeCell ref="C8:E8"/>
    <mergeCell ref="C12:E12"/>
    <mergeCell ref="C13:E13"/>
    <mergeCell ref="C26:D26"/>
    <mergeCell ref="C27:D27"/>
    <mergeCell ref="C16:D16"/>
    <mergeCell ref="C17:D17"/>
    <mergeCell ref="C18:D18"/>
    <mergeCell ref="C19:D19"/>
    <mergeCell ref="C20:D20"/>
    <mergeCell ref="C21:D21"/>
    <mergeCell ref="C14:D14"/>
    <mergeCell ref="C15:D15"/>
    <mergeCell ref="C22:D22"/>
    <mergeCell ref="C23:D23"/>
    <mergeCell ref="C24:D24"/>
    <mergeCell ref="C25:D25"/>
    <mergeCell ref="C38:D38"/>
    <mergeCell ref="C28:D28"/>
    <mergeCell ref="C29:D29"/>
    <mergeCell ref="C30:D30"/>
    <mergeCell ref="C31:D31"/>
    <mergeCell ref="C45:D45"/>
    <mergeCell ref="C46:D46"/>
    <mergeCell ref="C47:D47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C43:D43"/>
    <mergeCell ref="C44:D44"/>
    <mergeCell ref="C48:D48"/>
    <mergeCell ref="C49:D49"/>
    <mergeCell ref="C62:D62"/>
    <mergeCell ref="C63:D63"/>
    <mergeCell ref="C52:D52"/>
    <mergeCell ref="C53:D53"/>
    <mergeCell ref="C54:D54"/>
    <mergeCell ref="C55:D55"/>
    <mergeCell ref="C56:D56"/>
    <mergeCell ref="C57:D57"/>
    <mergeCell ref="C50:D50"/>
    <mergeCell ref="C51:D51"/>
    <mergeCell ref="C74:D74"/>
    <mergeCell ref="C75:D75"/>
    <mergeCell ref="C64:D64"/>
    <mergeCell ref="C65:D65"/>
    <mergeCell ref="C66:D66"/>
    <mergeCell ref="C67:D67"/>
    <mergeCell ref="C73:D73"/>
    <mergeCell ref="C58:D58"/>
    <mergeCell ref="C59:D59"/>
    <mergeCell ref="C60:D60"/>
    <mergeCell ref="C61:D61"/>
    <mergeCell ref="C68:D68"/>
    <mergeCell ref="C69:D69"/>
    <mergeCell ref="C70:D70"/>
    <mergeCell ref="C71:D71"/>
    <mergeCell ref="C72:D72"/>
    <mergeCell ref="C82:D82"/>
    <mergeCell ref="A83:K83"/>
    <mergeCell ref="C76:D76"/>
    <mergeCell ref="C77:D77"/>
    <mergeCell ref="C78:D78"/>
    <mergeCell ref="C79:D79"/>
    <mergeCell ref="C80:D80"/>
    <mergeCell ref="C81:D81"/>
  </mergeCells>
  <phoneticPr fontId="15" type="noConversion"/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54"/>
  <sheetViews>
    <sheetView topLeftCell="A25" workbookViewId="0">
      <selection activeCell="A5" sqref="A5:I5"/>
    </sheetView>
  </sheetViews>
  <sheetFormatPr defaultRowHeight="12.75"/>
  <cols>
    <col min="2" max="2" width="17.85546875" customWidth="1"/>
    <col min="9" max="9" width="12" customWidth="1"/>
    <col min="11" max="11" width="11.7109375" customWidth="1"/>
  </cols>
  <sheetData>
    <row r="1" spans="1:11" ht="17.25">
      <c r="A1" s="335" t="s">
        <v>436</v>
      </c>
      <c r="B1" s="336"/>
      <c r="C1" s="336"/>
      <c r="D1" s="336"/>
      <c r="E1" s="336"/>
      <c r="F1" s="337"/>
      <c r="G1" s="337"/>
      <c r="H1" s="337"/>
      <c r="I1" s="338"/>
    </row>
    <row r="2" spans="1:11" ht="13.5">
      <c r="A2" s="339" t="s">
        <v>437</v>
      </c>
      <c r="B2" s="340"/>
      <c r="C2" s="340"/>
      <c r="D2" s="341"/>
      <c r="E2" s="342" t="s">
        <v>438</v>
      </c>
      <c r="F2" s="343"/>
      <c r="G2" s="343"/>
      <c r="H2" s="343"/>
      <c r="I2" s="344"/>
    </row>
    <row r="3" spans="1:11" ht="13.5">
      <c r="A3" s="345" t="s">
        <v>439</v>
      </c>
      <c r="B3" s="346"/>
      <c r="C3" s="346"/>
      <c r="D3" s="346"/>
      <c r="E3" s="346"/>
      <c r="F3" s="346"/>
      <c r="G3" s="346"/>
      <c r="H3" s="346"/>
      <c r="I3" s="347"/>
    </row>
    <row r="4" spans="1:11" ht="13.5">
      <c r="A4" s="348" t="s">
        <v>440</v>
      </c>
      <c r="B4" s="349"/>
      <c r="C4" s="349"/>
      <c r="D4" s="349"/>
      <c r="E4" s="349"/>
      <c r="F4" s="349"/>
      <c r="G4" s="349"/>
      <c r="H4" s="349"/>
      <c r="I4" s="350"/>
      <c r="K4" s="24">
        <f>Planilha!H127</f>
        <v>1189692.717921</v>
      </c>
    </row>
    <row r="5" spans="1:11" ht="13.5" thickBot="1">
      <c r="A5" s="351" t="s">
        <v>477</v>
      </c>
      <c r="B5" s="352"/>
      <c r="C5" s="352"/>
      <c r="D5" s="352"/>
      <c r="E5" s="352"/>
      <c r="F5" s="352"/>
      <c r="G5" s="352"/>
      <c r="H5" s="352"/>
      <c r="I5" s="353"/>
      <c r="K5">
        <f>K4/F20</f>
        <v>29.946975805280605</v>
      </c>
    </row>
    <row r="6" spans="1:11" ht="15.75" customHeight="1">
      <c r="A6" s="315" t="s">
        <v>441</v>
      </c>
      <c r="B6" s="316"/>
      <c r="C6" s="141" t="s">
        <v>442</v>
      </c>
      <c r="D6" s="141" t="s">
        <v>443</v>
      </c>
      <c r="E6" s="142"/>
      <c r="F6" s="143" t="s">
        <v>444</v>
      </c>
      <c r="G6" s="142"/>
      <c r="H6" s="142"/>
      <c r="I6" s="164" t="s">
        <v>445</v>
      </c>
      <c r="K6">
        <v>29.946975810000001</v>
      </c>
    </row>
    <row r="7" spans="1:11">
      <c r="A7" s="321" t="s">
        <v>3</v>
      </c>
      <c r="B7" s="322"/>
      <c r="C7" s="141" t="s">
        <v>23</v>
      </c>
      <c r="D7" s="141" t="s">
        <v>23</v>
      </c>
      <c r="E7" s="142"/>
      <c r="F7" s="144" t="s">
        <v>161</v>
      </c>
      <c r="G7" s="144"/>
      <c r="H7" s="144"/>
      <c r="I7" s="145">
        <v>29.94</v>
      </c>
      <c r="K7">
        <v>29.946975810000001</v>
      </c>
    </row>
    <row r="8" spans="1:11">
      <c r="A8" s="319" t="s">
        <v>419</v>
      </c>
      <c r="B8" s="320"/>
      <c r="C8" s="146">
        <v>66.45</v>
      </c>
      <c r="D8" s="147">
        <v>7.12</v>
      </c>
      <c r="E8" s="146"/>
      <c r="F8" s="148">
        <f t="shared" ref="F8:F19" si="0">C8*D8</f>
        <v>473.12400000000002</v>
      </c>
      <c r="G8" s="148"/>
      <c r="H8" s="148"/>
      <c r="I8" s="149">
        <f>F8*K5</f>
        <v>14168.632980897582</v>
      </c>
      <c r="K8">
        <v>29.946975810000001</v>
      </c>
    </row>
    <row r="9" spans="1:11">
      <c r="A9" s="315" t="s">
        <v>420</v>
      </c>
      <c r="B9" s="316"/>
      <c r="C9" s="146">
        <v>363.77</v>
      </c>
      <c r="D9" s="147">
        <v>6.97</v>
      </c>
      <c r="E9" s="146"/>
      <c r="F9" s="148">
        <f t="shared" si="0"/>
        <v>2535.4768999999997</v>
      </c>
      <c r="G9" s="148"/>
      <c r="H9" s="148"/>
      <c r="I9" s="149">
        <f t="shared" ref="I9:I19" si="1">F9*K6</f>
        <v>75929.865391113781</v>
      </c>
      <c r="K9">
        <v>29.946975810000001</v>
      </c>
    </row>
    <row r="10" spans="1:11">
      <c r="A10" s="315" t="s">
        <v>421</v>
      </c>
      <c r="B10" s="316"/>
      <c r="C10" s="146">
        <v>519.14</v>
      </c>
      <c r="D10" s="146">
        <v>6.96</v>
      </c>
      <c r="E10" s="146"/>
      <c r="F10" s="148">
        <f t="shared" si="0"/>
        <v>3613.2143999999998</v>
      </c>
      <c r="G10" s="148"/>
      <c r="H10" s="148"/>
      <c r="I10" s="149">
        <f t="shared" si="1"/>
        <v>108204.84423314367</v>
      </c>
      <c r="K10">
        <v>29.946975810000001</v>
      </c>
    </row>
    <row r="11" spans="1:11">
      <c r="A11" s="315" t="s">
        <v>446</v>
      </c>
      <c r="B11" s="316"/>
      <c r="C11" s="146">
        <v>532.35</v>
      </c>
      <c r="D11" s="146">
        <v>7.03</v>
      </c>
      <c r="E11" s="146"/>
      <c r="F11" s="148">
        <f t="shared" si="0"/>
        <v>3742.4205000000002</v>
      </c>
      <c r="G11" s="148"/>
      <c r="H11" s="148"/>
      <c r="I11" s="149">
        <f t="shared" si="1"/>
        <v>112074.17618434812</v>
      </c>
      <c r="K11">
        <v>29.946975810000001</v>
      </c>
    </row>
    <row r="12" spans="1:11">
      <c r="A12" s="315" t="s">
        <v>422</v>
      </c>
      <c r="B12" s="316"/>
      <c r="C12" s="146">
        <v>546.94000000000005</v>
      </c>
      <c r="D12" s="146">
        <v>7.81</v>
      </c>
      <c r="E12" s="146"/>
      <c r="F12" s="148">
        <f t="shared" si="0"/>
        <v>4271.6014000000005</v>
      </c>
      <c r="G12" s="148"/>
      <c r="H12" s="148"/>
      <c r="I12" s="149">
        <f t="shared" si="1"/>
        <v>127921.54379576215</v>
      </c>
      <c r="K12">
        <v>29.946975810000001</v>
      </c>
    </row>
    <row r="13" spans="1:11">
      <c r="A13" s="315" t="s">
        <v>423</v>
      </c>
      <c r="B13" s="316"/>
      <c r="C13" s="146">
        <v>213.65</v>
      </c>
      <c r="D13" s="146">
        <v>6.6</v>
      </c>
      <c r="E13" s="146"/>
      <c r="F13" s="148">
        <f t="shared" si="0"/>
        <v>1410.09</v>
      </c>
      <c r="G13" s="148"/>
      <c r="H13" s="148"/>
      <c r="I13" s="149">
        <f t="shared" si="1"/>
        <v>42227.931119922898</v>
      </c>
      <c r="K13">
        <v>29.946975810000001</v>
      </c>
    </row>
    <row r="14" spans="1:11">
      <c r="A14" s="319" t="s">
        <v>424</v>
      </c>
      <c r="B14" s="320"/>
      <c r="C14" s="146">
        <v>524.47</v>
      </c>
      <c r="D14" s="147">
        <v>6.56</v>
      </c>
      <c r="E14" s="150"/>
      <c r="F14" s="148">
        <f t="shared" si="0"/>
        <v>3440.5232000000001</v>
      </c>
      <c r="G14" s="148"/>
      <c r="H14" s="148"/>
      <c r="I14" s="149">
        <f t="shared" si="1"/>
        <v>103033.2650441438</v>
      </c>
      <c r="K14">
        <v>29.946975810000001</v>
      </c>
    </row>
    <row r="15" spans="1:11">
      <c r="A15" s="315" t="s">
        <v>447</v>
      </c>
      <c r="B15" s="316"/>
      <c r="C15" s="146">
        <v>507.53</v>
      </c>
      <c r="D15" s="147">
        <v>7.17</v>
      </c>
      <c r="E15" s="150"/>
      <c r="F15" s="148">
        <f t="shared" si="0"/>
        <v>3638.9901</v>
      </c>
      <c r="G15" s="148"/>
      <c r="H15" s="148"/>
      <c r="I15" s="149">
        <f t="shared" si="1"/>
        <v>108976.74849752948</v>
      </c>
      <c r="K15">
        <v>29.946975810000001</v>
      </c>
    </row>
    <row r="16" spans="1:11">
      <c r="A16" s="315" t="s">
        <v>427</v>
      </c>
      <c r="B16" s="316"/>
      <c r="C16" s="146">
        <v>594.53</v>
      </c>
      <c r="D16" s="146">
        <v>7.13</v>
      </c>
      <c r="E16" s="150"/>
      <c r="F16" s="148">
        <f t="shared" si="0"/>
        <v>4238.9988999999996</v>
      </c>
      <c r="G16" s="148"/>
      <c r="H16" s="148"/>
      <c r="I16" s="149">
        <f t="shared" si="1"/>
        <v>126945.1975169166</v>
      </c>
      <c r="K16">
        <v>29.946975810000001</v>
      </c>
    </row>
    <row r="17" spans="1:12">
      <c r="A17" s="315" t="s">
        <v>426</v>
      </c>
      <c r="B17" s="316"/>
      <c r="C17" s="146">
        <v>597.11</v>
      </c>
      <c r="D17" s="146">
        <v>7.15</v>
      </c>
      <c r="E17" s="150"/>
      <c r="F17" s="148">
        <f t="shared" si="0"/>
        <v>4269.3365000000003</v>
      </c>
      <c r="G17" s="148"/>
      <c r="H17" s="148"/>
      <c r="I17" s="149">
        <f t="shared" si="1"/>
        <v>127853.71689025009</v>
      </c>
    </row>
    <row r="18" spans="1:12">
      <c r="A18" s="315" t="s">
        <v>448</v>
      </c>
      <c r="B18" s="316"/>
      <c r="C18" s="146">
        <v>448.82</v>
      </c>
      <c r="D18" s="146">
        <v>7.07</v>
      </c>
      <c r="E18" s="150"/>
      <c r="F18" s="148">
        <f t="shared" si="0"/>
        <v>3173.1574000000001</v>
      </c>
      <c r="G18" s="148"/>
      <c r="H18" s="148"/>
      <c r="I18" s="149">
        <f t="shared" si="1"/>
        <v>95026.467899122494</v>
      </c>
    </row>
    <row r="19" spans="1:12">
      <c r="A19" s="315" t="s">
        <v>428</v>
      </c>
      <c r="B19" s="316"/>
      <c r="C19" s="146">
        <v>690.97</v>
      </c>
      <c r="D19" s="146">
        <v>7.12</v>
      </c>
      <c r="E19" s="150"/>
      <c r="F19" s="148">
        <f t="shared" si="0"/>
        <v>4919.7064</v>
      </c>
      <c r="G19" s="148"/>
      <c r="H19" s="148"/>
      <c r="I19" s="149">
        <f t="shared" si="1"/>
        <v>147330.32855310218</v>
      </c>
    </row>
    <row r="20" spans="1:12" ht="13.5" thickBot="1">
      <c r="A20" s="317"/>
      <c r="B20" s="318"/>
      <c r="C20" s="151">
        <f>SUM(C8:C19)</f>
        <v>5605.73</v>
      </c>
      <c r="D20" s="151"/>
      <c r="E20" s="151"/>
      <c r="F20" s="151">
        <f>SUM(F8:F19)</f>
        <v>39726.6397</v>
      </c>
      <c r="G20" s="151"/>
      <c r="H20" s="151"/>
      <c r="I20" s="152">
        <f>SUM(I8:I19)</f>
        <v>1189692.7181062528</v>
      </c>
    </row>
    <row r="21" spans="1:12" ht="14.25" thickBot="1">
      <c r="A21" s="153"/>
      <c r="B21" s="153"/>
      <c r="C21" s="153"/>
      <c r="D21" s="153"/>
      <c r="E21" s="153"/>
      <c r="F21" s="153"/>
      <c r="G21" s="153"/>
      <c r="H21" s="153"/>
      <c r="I21" s="153"/>
    </row>
    <row r="22" spans="1:12" ht="33" customHeight="1">
      <c r="A22" s="154" t="s">
        <v>0</v>
      </c>
      <c r="B22" s="155" t="s">
        <v>470</v>
      </c>
      <c r="C22" s="323" t="s">
        <v>449</v>
      </c>
      <c r="D22" s="325" t="s">
        <v>333</v>
      </c>
      <c r="E22" s="325"/>
      <c r="F22" s="325"/>
      <c r="G22" s="325"/>
      <c r="H22" s="325"/>
      <c r="I22" s="156" t="s">
        <v>3</v>
      </c>
    </row>
    <row r="23" spans="1:12" ht="30" customHeight="1">
      <c r="A23" s="157" t="s">
        <v>450</v>
      </c>
      <c r="B23" s="158" t="s">
        <v>328</v>
      </c>
      <c r="C23" s="324"/>
      <c r="D23" s="326"/>
      <c r="E23" s="326"/>
      <c r="F23" s="326"/>
      <c r="G23" s="326"/>
      <c r="H23" s="326"/>
      <c r="I23" s="159" t="s">
        <v>161</v>
      </c>
    </row>
    <row r="24" spans="1:12" ht="25.5">
      <c r="A24" s="327" t="s">
        <v>441</v>
      </c>
      <c r="B24" s="328"/>
      <c r="C24" s="160" t="s">
        <v>442</v>
      </c>
      <c r="D24" s="160" t="s">
        <v>443</v>
      </c>
      <c r="E24" s="161" t="s">
        <v>444</v>
      </c>
      <c r="F24" s="162" t="s">
        <v>451</v>
      </c>
      <c r="G24" s="163" t="s">
        <v>452</v>
      </c>
      <c r="H24" s="161" t="s">
        <v>453</v>
      </c>
      <c r="I24" s="164" t="s">
        <v>454</v>
      </c>
    </row>
    <row r="25" spans="1:12">
      <c r="A25" s="321" t="s">
        <v>3</v>
      </c>
      <c r="B25" s="322"/>
      <c r="C25" s="141" t="s">
        <v>23</v>
      </c>
      <c r="D25" s="141" t="s">
        <v>23</v>
      </c>
      <c r="E25" s="142" t="s">
        <v>161</v>
      </c>
      <c r="F25" s="144" t="s">
        <v>299</v>
      </c>
      <c r="G25" s="163" t="s">
        <v>467</v>
      </c>
      <c r="H25" s="144" t="s">
        <v>341</v>
      </c>
      <c r="I25" s="165">
        <v>1.37</v>
      </c>
    </row>
    <row r="26" spans="1:12">
      <c r="A26" s="319" t="s">
        <v>419</v>
      </c>
      <c r="B26" s="320"/>
      <c r="C26" s="146">
        <v>66.45</v>
      </c>
      <c r="D26" s="147">
        <v>7.12</v>
      </c>
      <c r="E26" s="146">
        <f>C26*D26</f>
        <v>473.12400000000002</v>
      </c>
      <c r="F26" s="148"/>
      <c r="G26" s="183"/>
      <c r="H26" s="148"/>
      <c r="I26" s="149">
        <f>E26*K26</f>
        <v>648.17988000000014</v>
      </c>
      <c r="K26" s="166">
        <v>1.37</v>
      </c>
      <c r="L26" s="166"/>
    </row>
    <row r="27" spans="1:12">
      <c r="A27" s="315" t="s">
        <v>420</v>
      </c>
      <c r="B27" s="316"/>
      <c r="C27" s="146">
        <v>363.77</v>
      </c>
      <c r="D27" s="147">
        <v>6.97</v>
      </c>
      <c r="E27" s="146">
        <f t="shared" ref="E27:E37" si="2">C27*D27</f>
        <v>2535.4768999999997</v>
      </c>
      <c r="F27" s="148"/>
      <c r="G27" s="183"/>
      <c r="H27" s="148"/>
      <c r="I27" s="149">
        <f t="shared" ref="I27:I37" si="3">E27*K27</f>
        <v>3473.603353</v>
      </c>
      <c r="K27" s="166">
        <v>1.37</v>
      </c>
      <c r="L27" s="166"/>
    </row>
    <row r="28" spans="1:12">
      <c r="A28" s="315" t="s">
        <v>421</v>
      </c>
      <c r="B28" s="316"/>
      <c r="C28" s="146">
        <v>519.14</v>
      </c>
      <c r="D28" s="146">
        <v>6.96</v>
      </c>
      <c r="E28" s="146">
        <f t="shared" si="2"/>
        <v>3613.2143999999998</v>
      </c>
      <c r="F28" s="148"/>
      <c r="G28" s="183"/>
      <c r="H28" s="148"/>
      <c r="I28" s="149">
        <f t="shared" si="3"/>
        <v>4950.103728</v>
      </c>
      <c r="K28" s="166">
        <v>1.37</v>
      </c>
      <c r="L28" s="166"/>
    </row>
    <row r="29" spans="1:12">
      <c r="A29" s="315" t="s">
        <v>446</v>
      </c>
      <c r="B29" s="316"/>
      <c r="C29" s="146">
        <v>532.35</v>
      </c>
      <c r="D29" s="146">
        <v>7.03</v>
      </c>
      <c r="E29" s="146">
        <f t="shared" si="2"/>
        <v>3742.4205000000002</v>
      </c>
      <c r="F29" s="148"/>
      <c r="G29" s="183"/>
      <c r="H29" s="148"/>
      <c r="I29" s="149">
        <f t="shared" si="3"/>
        <v>5127.1160850000006</v>
      </c>
      <c r="K29" s="166">
        <v>1.37</v>
      </c>
      <c r="L29" s="166"/>
    </row>
    <row r="30" spans="1:12">
      <c r="A30" s="315" t="s">
        <v>422</v>
      </c>
      <c r="B30" s="316"/>
      <c r="C30" s="146">
        <v>546.94000000000005</v>
      </c>
      <c r="D30" s="146">
        <v>7.81</v>
      </c>
      <c r="E30" s="146">
        <f t="shared" si="2"/>
        <v>4271.6014000000005</v>
      </c>
      <c r="F30" s="148"/>
      <c r="G30" s="183"/>
      <c r="H30" s="148"/>
      <c r="I30" s="149">
        <f t="shared" si="3"/>
        <v>5852.0939180000014</v>
      </c>
      <c r="K30" s="166">
        <v>1.37</v>
      </c>
      <c r="L30" s="166"/>
    </row>
    <row r="31" spans="1:12">
      <c r="A31" s="315" t="s">
        <v>423</v>
      </c>
      <c r="B31" s="316"/>
      <c r="C31" s="146">
        <v>213.65</v>
      </c>
      <c r="D31" s="146">
        <v>6.6</v>
      </c>
      <c r="E31" s="146">
        <f t="shared" si="2"/>
        <v>1410.09</v>
      </c>
      <c r="F31" s="148"/>
      <c r="G31" s="183"/>
      <c r="H31" s="148"/>
      <c r="I31" s="149">
        <f t="shared" si="3"/>
        <v>1931.8233</v>
      </c>
      <c r="K31" s="166">
        <v>1.37</v>
      </c>
      <c r="L31" s="166"/>
    </row>
    <row r="32" spans="1:12">
      <c r="A32" s="319" t="s">
        <v>424</v>
      </c>
      <c r="B32" s="320"/>
      <c r="C32" s="146">
        <v>524.47</v>
      </c>
      <c r="D32" s="147">
        <v>6.56</v>
      </c>
      <c r="E32" s="146">
        <f t="shared" si="2"/>
        <v>3440.5232000000001</v>
      </c>
      <c r="F32" s="148"/>
      <c r="G32" s="183"/>
      <c r="H32" s="148"/>
      <c r="I32" s="149">
        <f t="shared" si="3"/>
        <v>4713.5167840000004</v>
      </c>
      <c r="K32" s="166">
        <v>1.37</v>
      </c>
      <c r="L32" s="166"/>
    </row>
    <row r="33" spans="1:12">
      <c r="A33" s="315" t="s">
        <v>447</v>
      </c>
      <c r="B33" s="316"/>
      <c r="C33" s="146">
        <v>507.53</v>
      </c>
      <c r="D33" s="147">
        <v>7.17</v>
      </c>
      <c r="E33" s="146">
        <f t="shared" si="2"/>
        <v>3638.9901</v>
      </c>
      <c r="F33" s="148"/>
      <c r="G33" s="183"/>
      <c r="H33" s="148"/>
      <c r="I33" s="149">
        <f t="shared" si="3"/>
        <v>4985.4164370000008</v>
      </c>
      <c r="K33" s="166">
        <v>1.37</v>
      </c>
      <c r="L33" s="166"/>
    </row>
    <row r="34" spans="1:12">
      <c r="A34" s="315" t="s">
        <v>427</v>
      </c>
      <c r="B34" s="316"/>
      <c r="C34" s="146">
        <v>594.53</v>
      </c>
      <c r="D34" s="146">
        <v>7.13</v>
      </c>
      <c r="E34" s="146">
        <f t="shared" si="2"/>
        <v>4238.9988999999996</v>
      </c>
      <c r="F34" s="148"/>
      <c r="G34" s="183"/>
      <c r="H34" s="148"/>
      <c r="I34" s="149">
        <f t="shared" si="3"/>
        <v>5807.4284930000003</v>
      </c>
      <c r="K34" s="166">
        <v>1.37</v>
      </c>
      <c r="L34" s="166"/>
    </row>
    <row r="35" spans="1:12">
      <c r="A35" s="315" t="s">
        <v>426</v>
      </c>
      <c r="B35" s="316"/>
      <c r="C35" s="146">
        <v>597.11</v>
      </c>
      <c r="D35" s="146">
        <v>7.15</v>
      </c>
      <c r="E35" s="146">
        <f t="shared" si="2"/>
        <v>4269.3365000000003</v>
      </c>
      <c r="F35" s="148"/>
      <c r="G35" s="183"/>
      <c r="H35" s="148"/>
      <c r="I35" s="149">
        <f t="shared" si="3"/>
        <v>5848.9910050000008</v>
      </c>
      <c r="K35" s="166">
        <v>1.37</v>
      </c>
      <c r="L35" s="166"/>
    </row>
    <row r="36" spans="1:12">
      <c r="A36" s="315" t="s">
        <v>448</v>
      </c>
      <c r="B36" s="316"/>
      <c r="C36" s="146">
        <v>448.82</v>
      </c>
      <c r="D36" s="146">
        <v>7.07</v>
      </c>
      <c r="E36" s="146">
        <f t="shared" si="2"/>
        <v>3173.1574000000001</v>
      </c>
      <c r="F36" s="148"/>
      <c r="G36" s="183"/>
      <c r="H36" s="148"/>
      <c r="I36" s="149">
        <f t="shared" si="3"/>
        <v>4347.2256380000008</v>
      </c>
      <c r="K36" s="166">
        <v>1.37</v>
      </c>
      <c r="L36" s="166"/>
    </row>
    <row r="37" spans="1:12">
      <c r="A37" s="315" t="s">
        <v>428</v>
      </c>
      <c r="B37" s="316"/>
      <c r="C37" s="146">
        <v>690.97</v>
      </c>
      <c r="D37" s="146">
        <v>7.12</v>
      </c>
      <c r="E37" s="146">
        <f t="shared" si="2"/>
        <v>4919.7064</v>
      </c>
      <c r="F37" s="148"/>
      <c r="G37" s="183"/>
      <c r="H37" s="148"/>
      <c r="I37" s="149">
        <f t="shared" si="3"/>
        <v>6739.9977680000002</v>
      </c>
      <c r="K37" s="166">
        <v>1.37</v>
      </c>
      <c r="L37" s="166"/>
    </row>
    <row r="38" spans="1:12" ht="13.5" thickBot="1">
      <c r="A38" s="317"/>
      <c r="B38" s="318"/>
      <c r="C38" s="151"/>
      <c r="D38" s="167"/>
      <c r="E38" s="151">
        <f>SUM(E26:E37)</f>
        <v>39726.6397</v>
      </c>
      <c r="F38" s="151"/>
      <c r="G38" s="151"/>
      <c r="H38" s="151"/>
      <c r="I38" s="152">
        <f>SUM(I26:I37)</f>
        <v>54425.496389000014</v>
      </c>
    </row>
    <row r="39" spans="1:12" ht="14.25" thickBot="1">
      <c r="A39" s="153"/>
      <c r="B39" s="153"/>
      <c r="C39" s="153"/>
      <c r="D39" s="153"/>
      <c r="E39" s="153"/>
      <c r="F39" s="153"/>
      <c r="G39" s="153"/>
      <c r="H39" s="153"/>
      <c r="I39" s="153"/>
    </row>
    <row r="40" spans="1:12">
      <c r="A40" s="154" t="s">
        <v>0</v>
      </c>
      <c r="B40" s="155" t="s">
        <v>470</v>
      </c>
      <c r="C40" s="323" t="s">
        <v>449</v>
      </c>
      <c r="D40" s="325" t="s">
        <v>456</v>
      </c>
      <c r="E40" s="325"/>
      <c r="F40" s="325"/>
      <c r="G40" s="325"/>
      <c r="H40" s="325"/>
      <c r="I40" s="156" t="s">
        <v>3</v>
      </c>
    </row>
    <row r="41" spans="1:12" ht="13.5">
      <c r="A41" s="168" t="s">
        <v>450</v>
      </c>
      <c r="B41" s="169" t="s">
        <v>331</v>
      </c>
      <c r="C41" s="324"/>
      <c r="D41" s="326"/>
      <c r="E41" s="326"/>
      <c r="F41" s="326"/>
      <c r="G41" s="326"/>
      <c r="H41" s="326"/>
      <c r="I41" s="170" t="s">
        <v>457</v>
      </c>
    </row>
    <row r="42" spans="1:12" ht="25.5">
      <c r="A42" s="327" t="s">
        <v>441</v>
      </c>
      <c r="B42" s="328"/>
      <c r="C42" s="160" t="s">
        <v>442</v>
      </c>
      <c r="D42" s="160" t="s">
        <v>443</v>
      </c>
      <c r="E42" s="161" t="s">
        <v>452</v>
      </c>
      <c r="F42" s="171" t="s">
        <v>444</v>
      </c>
      <c r="G42" s="161" t="s">
        <v>451</v>
      </c>
      <c r="H42" s="161" t="s">
        <v>453</v>
      </c>
      <c r="I42" s="164" t="s">
        <v>458</v>
      </c>
    </row>
    <row r="43" spans="1:12" ht="13.5">
      <c r="A43" s="321" t="s">
        <v>3</v>
      </c>
      <c r="B43" s="322"/>
      <c r="C43" s="141" t="s">
        <v>23</v>
      </c>
      <c r="D43" s="141" t="s">
        <v>23</v>
      </c>
      <c r="E43" s="142" t="s">
        <v>459</v>
      </c>
      <c r="F43" s="144" t="s">
        <v>161</v>
      </c>
      <c r="G43" s="144" t="s">
        <v>299</v>
      </c>
      <c r="H43" s="144" t="s">
        <v>457</v>
      </c>
      <c r="I43" s="172">
        <v>0.57999999999999996</v>
      </c>
    </row>
    <row r="44" spans="1:12">
      <c r="A44" s="319" t="s">
        <v>419</v>
      </c>
      <c r="B44" s="320"/>
      <c r="C44" s="146">
        <v>66.45</v>
      </c>
      <c r="D44" s="147">
        <v>7.12</v>
      </c>
      <c r="E44" s="173">
        <v>1.1999999999999999E-3</v>
      </c>
      <c r="F44" s="148">
        <f>C44*D44</f>
        <v>473.12400000000002</v>
      </c>
      <c r="G44" s="148"/>
      <c r="H44" s="148">
        <f>E44*F44*K44</f>
        <v>266.84193599999998</v>
      </c>
      <c r="I44" s="149">
        <f>H44*J44</f>
        <v>154.76832287999997</v>
      </c>
      <c r="J44" s="166">
        <v>0.57999999999999996</v>
      </c>
      <c r="K44">
        <v>470</v>
      </c>
      <c r="L44" s="174"/>
    </row>
    <row r="45" spans="1:12">
      <c r="A45" s="315" t="s">
        <v>420</v>
      </c>
      <c r="B45" s="316"/>
      <c r="C45" s="146">
        <v>363.77</v>
      </c>
      <c r="D45" s="147">
        <v>6.97</v>
      </c>
      <c r="E45" s="173">
        <v>1.1999999999999999E-3</v>
      </c>
      <c r="F45" s="148">
        <f t="shared" ref="F45:F55" si="4">C45*D45</f>
        <v>2535.4768999999997</v>
      </c>
      <c r="G45" s="148"/>
      <c r="H45" s="148">
        <f t="shared" ref="H45:H55" si="5">E45*F45*K45</f>
        <v>1430.0089715999998</v>
      </c>
      <c r="I45" s="149">
        <f t="shared" ref="I45:I55" si="6">H45*J45</f>
        <v>829.40520352799979</v>
      </c>
      <c r="J45" s="166">
        <v>0.57999999999999996</v>
      </c>
      <c r="K45">
        <v>470</v>
      </c>
      <c r="L45" s="174"/>
    </row>
    <row r="46" spans="1:12">
      <c r="A46" s="315" t="s">
        <v>421</v>
      </c>
      <c r="B46" s="316"/>
      <c r="C46" s="146">
        <v>519.14</v>
      </c>
      <c r="D46" s="146">
        <v>6.96</v>
      </c>
      <c r="E46" s="173">
        <v>1.1999999999999999E-3</v>
      </c>
      <c r="F46" s="148">
        <f t="shared" si="4"/>
        <v>3613.2143999999998</v>
      </c>
      <c r="G46" s="148"/>
      <c r="H46" s="148">
        <f t="shared" si="5"/>
        <v>2037.8529215999995</v>
      </c>
      <c r="I46" s="149">
        <f t="shared" si="6"/>
        <v>1181.9546945279997</v>
      </c>
      <c r="J46" s="166">
        <v>0.57999999999999996</v>
      </c>
      <c r="K46">
        <v>470</v>
      </c>
      <c r="L46" s="174"/>
    </row>
    <row r="47" spans="1:12">
      <c r="A47" s="315" t="s">
        <v>446</v>
      </c>
      <c r="B47" s="316"/>
      <c r="C47" s="146">
        <v>532.35</v>
      </c>
      <c r="D47" s="146">
        <v>7.03</v>
      </c>
      <c r="E47" s="173">
        <v>1.1999999999999999E-3</v>
      </c>
      <c r="F47" s="148">
        <f t="shared" si="4"/>
        <v>3742.4205000000002</v>
      </c>
      <c r="G47" s="148"/>
      <c r="H47" s="148">
        <f t="shared" si="5"/>
        <v>2110.7251619999997</v>
      </c>
      <c r="I47" s="149">
        <f t="shared" si="6"/>
        <v>1224.2205939599999</v>
      </c>
      <c r="J47" s="166">
        <v>0.57999999999999996</v>
      </c>
      <c r="K47">
        <v>470</v>
      </c>
      <c r="L47" s="174"/>
    </row>
    <row r="48" spans="1:12">
      <c r="A48" s="315" t="s">
        <v>422</v>
      </c>
      <c r="B48" s="316"/>
      <c r="C48" s="146">
        <v>546.94000000000005</v>
      </c>
      <c r="D48" s="146">
        <v>7.81</v>
      </c>
      <c r="E48" s="173">
        <v>1.1999999999999999E-3</v>
      </c>
      <c r="F48" s="148">
        <f t="shared" si="4"/>
        <v>4271.6014000000005</v>
      </c>
      <c r="G48" s="148"/>
      <c r="H48" s="148">
        <f t="shared" si="5"/>
        <v>2409.1831896000003</v>
      </c>
      <c r="I48" s="149">
        <f t="shared" si="6"/>
        <v>1397.3262499680002</v>
      </c>
      <c r="J48" s="166">
        <v>0.57999999999999996</v>
      </c>
      <c r="K48">
        <v>470</v>
      </c>
      <c r="L48" s="174"/>
    </row>
    <row r="49" spans="1:12">
      <c r="A49" s="315" t="s">
        <v>423</v>
      </c>
      <c r="B49" s="316"/>
      <c r="C49" s="146">
        <v>213.65</v>
      </c>
      <c r="D49" s="146">
        <v>6.6</v>
      </c>
      <c r="E49" s="173">
        <v>1.1999999999999999E-3</v>
      </c>
      <c r="F49" s="148">
        <f t="shared" si="4"/>
        <v>1410.09</v>
      </c>
      <c r="G49" s="148"/>
      <c r="H49" s="148">
        <f t="shared" si="5"/>
        <v>795.29075999999986</v>
      </c>
      <c r="I49" s="149">
        <f t="shared" si="6"/>
        <v>461.2686407999999</v>
      </c>
      <c r="J49" s="166">
        <v>0.57999999999999996</v>
      </c>
      <c r="K49">
        <v>470</v>
      </c>
      <c r="L49" s="174"/>
    </row>
    <row r="50" spans="1:12">
      <c r="A50" s="319" t="s">
        <v>424</v>
      </c>
      <c r="B50" s="320"/>
      <c r="C50" s="146">
        <v>524.47</v>
      </c>
      <c r="D50" s="147">
        <v>6.56</v>
      </c>
      <c r="E50" s="173">
        <v>1.1999999999999999E-3</v>
      </c>
      <c r="F50" s="148">
        <f t="shared" si="4"/>
        <v>3440.5232000000001</v>
      </c>
      <c r="G50" s="148"/>
      <c r="H50" s="148">
        <f t="shared" si="5"/>
        <v>1940.4550848000001</v>
      </c>
      <c r="I50" s="149">
        <f t="shared" si="6"/>
        <v>1125.4639491840001</v>
      </c>
      <c r="J50" s="166">
        <v>0.57999999999999996</v>
      </c>
      <c r="K50">
        <v>470</v>
      </c>
      <c r="L50" s="174"/>
    </row>
    <row r="51" spans="1:12">
      <c r="A51" s="315" t="s">
        <v>447</v>
      </c>
      <c r="B51" s="316"/>
      <c r="C51" s="146">
        <v>507.53</v>
      </c>
      <c r="D51" s="147">
        <v>7.17</v>
      </c>
      <c r="E51" s="173">
        <v>1.1999999999999999E-3</v>
      </c>
      <c r="F51" s="148">
        <f t="shared" si="4"/>
        <v>3638.9901</v>
      </c>
      <c r="G51" s="148"/>
      <c r="H51" s="148">
        <f t="shared" si="5"/>
        <v>2052.3904164</v>
      </c>
      <c r="I51" s="149">
        <f t="shared" si="6"/>
        <v>1190.3864415119999</v>
      </c>
      <c r="J51" s="166">
        <v>0.57999999999999996</v>
      </c>
      <c r="K51">
        <v>470</v>
      </c>
      <c r="L51" s="174"/>
    </row>
    <row r="52" spans="1:12">
      <c r="A52" s="315" t="s">
        <v>427</v>
      </c>
      <c r="B52" s="316"/>
      <c r="C52" s="146">
        <v>594.53</v>
      </c>
      <c r="D52" s="146">
        <v>7.13</v>
      </c>
      <c r="E52" s="173">
        <v>1.1999999999999999E-3</v>
      </c>
      <c r="F52" s="148">
        <f t="shared" si="4"/>
        <v>4238.9988999999996</v>
      </c>
      <c r="G52" s="148"/>
      <c r="H52" s="148">
        <f t="shared" si="5"/>
        <v>2390.7953795999997</v>
      </c>
      <c r="I52" s="149">
        <f t="shared" si="6"/>
        <v>1386.6613201679997</v>
      </c>
      <c r="J52" s="166">
        <v>0.57999999999999996</v>
      </c>
      <c r="K52">
        <v>470</v>
      </c>
      <c r="L52" s="174"/>
    </row>
    <row r="53" spans="1:12">
      <c r="A53" s="315" t="s">
        <v>426</v>
      </c>
      <c r="B53" s="316"/>
      <c r="C53" s="146">
        <v>597.11</v>
      </c>
      <c r="D53" s="146">
        <v>7.15</v>
      </c>
      <c r="E53" s="173">
        <v>1.1999999999999999E-3</v>
      </c>
      <c r="F53" s="148">
        <f t="shared" si="4"/>
        <v>4269.3365000000003</v>
      </c>
      <c r="G53" s="148"/>
      <c r="H53" s="148">
        <f t="shared" si="5"/>
        <v>2407.9057859999998</v>
      </c>
      <c r="I53" s="149">
        <f t="shared" si="6"/>
        <v>1396.5853558799997</v>
      </c>
      <c r="J53" s="166">
        <v>0.57999999999999996</v>
      </c>
      <c r="K53">
        <v>470</v>
      </c>
      <c r="L53" s="174"/>
    </row>
    <row r="54" spans="1:12">
      <c r="A54" s="315" t="s">
        <v>448</v>
      </c>
      <c r="B54" s="316"/>
      <c r="C54" s="146">
        <v>448.82</v>
      </c>
      <c r="D54" s="146">
        <v>7.07</v>
      </c>
      <c r="E54" s="173">
        <v>1.1999999999999999E-3</v>
      </c>
      <c r="F54" s="148">
        <f t="shared" si="4"/>
        <v>3173.1574000000001</v>
      </c>
      <c r="G54" s="148"/>
      <c r="H54" s="148">
        <f t="shared" si="5"/>
        <v>1789.6607735999999</v>
      </c>
      <c r="I54" s="149">
        <f t="shared" si="6"/>
        <v>1038.0032486879998</v>
      </c>
      <c r="J54" s="166">
        <v>0.57999999999999996</v>
      </c>
      <c r="K54">
        <v>470</v>
      </c>
      <c r="L54" s="174"/>
    </row>
    <row r="55" spans="1:12">
      <c r="A55" s="315" t="s">
        <v>428</v>
      </c>
      <c r="B55" s="316"/>
      <c r="C55" s="146">
        <v>690.97</v>
      </c>
      <c r="D55" s="146">
        <v>7.12</v>
      </c>
      <c r="E55" s="173">
        <v>1.1999999999999999E-3</v>
      </c>
      <c r="F55" s="148">
        <f t="shared" si="4"/>
        <v>4919.7064</v>
      </c>
      <c r="G55" s="148"/>
      <c r="H55" s="148">
        <f t="shared" si="5"/>
        <v>2774.7144095999997</v>
      </c>
      <c r="I55" s="149">
        <f t="shared" si="6"/>
        <v>1609.3343575679996</v>
      </c>
      <c r="J55" s="166">
        <v>0.57999999999999996</v>
      </c>
      <c r="K55">
        <v>470</v>
      </c>
      <c r="L55" s="174"/>
    </row>
    <row r="56" spans="1:12" ht="13.5" thickBot="1">
      <c r="A56" s="317"/>
      <c r="B56" s="318"/>
      <c r="C56" s="151">
        <f>SUM(C44:C55)</f>
        <v>5605.73</v>
      </c>
      <c r="D56" s="151"/>
      <c r="E56" s="151"/>
      <c r="F56" s="151">
        <f>SUM(F44:F55)</f>
        <v>39726.6397</v>
      </c>
      <c r="G56" s="151"/>
      <c r="H56" s="151">
        <f>SUM(H44:H55)</f>
        <v>22405.824790800001</v>
      </c>
      <c r="I56" s="152">
        <f>SUM(I44:I55)</f>
        <v>12995.378378663996</v>
      </c>
    </row>
    <row r="57" spans="1:12" ht="14.25" thickBot="1">
      <c r="A57" s="153"/>
      <c r="B57" s="153"/>
      <c r="C57" s="153"/>
      <c r="D57" s="153"/>
      <c r="E57" s="153"/>
      <c r="F57" s="153"/>
      <c r="G57" s="153"/>
      <c r="H57" s="153"/>
      <c r="I57" s="153"/>
    </row>
    <row r="58" spans="1:12" ht="39.75" customHeight="1">
      <c r="A58" s="154" t="s">
        <v>0</v>
      </c>
      <c r="B58" s="155" t="s">
        <v>470</v>
      </c>
      <c r="C58" s="323" t="s">
        <v>449</v>
      </c>
      <c r="D58" s="329" t="s">
        <v>356</v>
      </c>
      <c r="E58" s="330"/>
      <c r="F58" s="330"/>
      <c r="G58" s="330"/>
      <c r="H58" s="331"/>
      <c r="I58" s="156" t="s">
        <v>3</v>
      </c>
    </row>
    <row r="59" spans="1:12" ht="36.75" customHeight="1">
      <c r="A59" s="157" t="s">
        <v>450</v>
      </c>
      <c r="B59" s="175" t="s">
        <v>355</v>
      </c>
      <c r="C59" s="324"/>
      <c r="D59" s="332"/>
      <c r="E59" s="333"/>
      <c r="F59" s="333"/>
      <c r="G59" s="333"/>
      <c r="H59" s="334"/>
      <c r="I59" s="159" t="s">
        <v>299</v>
      </c>
    </row>
    <row r="60" spans="1:12" ht="25.5">
      <c r="A60" s="327" t="s">
        <v>441</v>
      </c>
      <c r="B60" s="328"/>
      <c r="C60" s="160" t="s">
        <v>442</v>
      </c>
      <c r="D60" s="160" t="s">
        <v>443</v>
      </c>
      <c r="E60" s="161" t="s">
        <v>460</v>
      </c>
      <c r="F60" s="171" t="s">
        <v>444</v>
      </c>
      <c r="G60" s="161" t="s">
        <v>451</v>
      </c>
      <c r="H60" s="161" t="s">
        <v>461</v>
      </c>
      <c r="I60" s="164" t="s">
        <v>458</v>
      </c>
    </row>
    <row r="61" spans="1:12" ht="13.5">
      <c r="A61" s="321" t="s">
        <v>3</v>
      </c>
      <c r="B61" s="322"/>
      <c r="C61" s="141" t="s">
        <v>23</v>
      </c>
      <c r="D61" s="141" t="s">
        <v>23</v>
      </c>
      <c r="E61" s="142" t="s">
        <v>23</v>
      </c>
      <c r="F61" s="144" t="s">
        <v>161</v>
      </c>
      <c r="G61" s="144" t="s">
        <v>299</v>
      </c>
      <c r="H61" s="144" t="s">
        <v>462</v>
      </c>
      <c r="I61" s="172">
        <v>733.07</v>
      </c>
    </row>
    <row r="62" spans="1:12">
      <c r="A62" s="319" t="s">
        <v>419</v>
      </c>
      <c r="B62" s="320"/>
      <c r="C62" s="146">
        <v>66.45</v>
      </c>
      <c r="D62" s="147">
        <v>7.12</v>
      </c>
      <c r="E62" s="146">
        <v>0.03</v>
      </c>
      <c r="F62" s="148">
        <f t="shared" ref="F62:F73" si="7">C62*D62</f>
        <v>473.12400000000002</v>
      </c>
      <c r="G62" s="148">
        <f>E62*F62</f>
        <v>14.193720000000001</v>
      </c>
      <c r="H62" s="148"/>
      <c r="I62" s="149">
        <f>G62*L62</f>
        <v>10404.990320400002</v>
      </c>
      <c r="L62" s="166">
        <v>733.07</v>
      </c>
    </row>
    <row r="63" spans="1:12">
      <c r="A63" s="315" t="s">
        <v>420</v>
      </c>
      <c r="B63" s="316"/>
      <c r="C63" s="146">
        <v>363.77</v>
      </c>
      <c r="D63" s="147">
        <v>6.97</v>
      </c>
      <c r="E63" s="146">
        <v>0.03</v>
      </c>
      <c r="F63" s="148">
        <f t="shared" si="7"/>
        <v>2535.4768999999997</v>
      </c>
      <c r="G63" s="148">
        <f t="shared" ref="G63:G73" si="8">E63*F63</f>
        <v>76.064306999999985</v>
      </c>
      <c r="H63" s="148"/>
      <c r="I63" s="149">
        <f t="shared" ref="I63:I73" si="9">G63*L63</f>
        <v>55760.461532489993</v>
      </c>
      <c r="L63" s="166">
        <v>733.07</v>
      </c>
    </row>
    <row r="64" spans="1:12">
      <c r="A64" s="315" t="s">
        <v>421</v>
      </c>
      <c r="B64" s="316"/>
      <c r="C64" s="146">
        <v>519.14</v>
      </c>
      <c r="D64" s="146">
        <v>6.96</v>
      </c>
      <c r="E64" s="146">
        <v>0.03</v>
      </c>
      <c r="F64" s="148">
        <f t="shared" si="7"/>
        <v>3613.2143999999998</v>
      </c>
      <c r="G64" s="148">
        <f t="shared" si="8"/>
        <v>108.39643199999999</v>
      </c>
      <c r="H64" s="148"/>
      <c r="I64" s="149">
        <f t="shared" si="9"/>
        <v>79462.172406240003</v>
      </c>
      <c r="L64" s="166">
        <v>733.07</v>
      </c>
    </row>
    <row r="65" spans="1:16">
      <c r="A65" s="315" t="s">
        <v>446</v>
      </c>
      <c r="B65" s="316"/>
      <c r="C65" s="146">
        <v>532.35</v>
      </c>
      <c r="D65" s="146">
        <v>7.03</v>
      </c>
      <c r="E65" s="146">
        <v>0.03</v>
      </c>
      <c r="F65" s="148">
        <f t="shared" si="7"/>
        <v>3742.4205000000002</v>
      </c>
      <c r="G65" s="148">
        <f t="shared" si="8"/>
        <v>112.272615</v>
      </c>
      <c r="H65" s="148"/>
      <c r="I65" s="149">
        <f t="shared" si="9"/>
        <v>82303.685878050004</v>
      </c>
      <c r="L65" s="166">
        <v>733.07</v>
      </c>
    </row>
    <row r="66" spans="1:16">
      <c r="A66" s="315" t="s">
        <v>422</v>
      </c>
      <c r="B66" s="316"/>
      <c r="C66" s="146">
        <v>546.94000000000005</v>
      </c>
      <c r="D66" s="146">
        <v>7.81</v>
      </c>
      <c r="E66" s="146">
        <v>0.03</v>
      </c>
      <c r="F66" s="148">
        <f t="shared" si="7"/>
        <v>4271.6014000000005</v>
      </c>
      <c r="G66" s="148">
        <f t="shared" si="8"/>
        <v>128.148042</v>
      </c>
      <c r="H66" s="148"/>
      <c r="I66" s="149">
        <f t="shared" si="9"/>
        <v>93941.485148940003</v>
      </c>
      <c r="L66" s="166">
        <v>733.07</v>
      </c>
    </row>
    <row r="67" spans="1:16">
      <c r="A67" s="315" t="s">
        <v>423</v>
      </c>
      <c r="B67" s="316"/>
      <c r="C67" s="146">
        <v>213.65</v>
      </c>
      <c r="D67" s="146">
        <v>6.6</v>
      </c>
      <c r="E67" s="146">
        <v>0.03</v>
      </c>
      <c r="F67" s="148">
        <f t="shared" si="7"/>
        <v>1410.09</v>
      </c>
      <c r="G67" s="148">
        <f t="shared" si="8"/>
        <v>42.302699999999994</v>
      </c>
      <c r="H67" s="148"/>
      <c r="I67" s="149">
        <f t="shared" si="9"/>
        <v>31010.840289</v>
      </c>
      <c r="L67" s="166">
        <v>733.07</v>
      </c>
    </row>
    <row r="68" spans="1:16">
      <c r="A68" s="319" t="s">
        <v>424</v>
      </c>
      <c r="B68" s="320"/>
      <c r="C68" s="146">
        <v>524.47</v>
      </c>
      <c r="D68" s="147">
        <v>6.56</v>
      </c>
      <c r="E68" s="146">
        <v>0.03</v>
      </c>
      <c r="F68" s="148">
        <f t="shared" si="7"/>
        <v>3440.5232000000001</v>
      </c>
      <c r="G68" s="148">
        <f t="shared" si="8"/>
        <v>103.21569599999999</v>
      </c>
      <c r="H68" s="148"/>
      <c r="I68" s="149">
        <f t="shared" si="9"/>
        <v>75664.330266720004</v>
      </c>
      <c r="L68" s="166">
        <v>733.07</v>
      </c>
    </row>
    <row r="69" spans="1:16">
      <c r="A69" s="315" t="s">
        <v>447</v>
      </c>
      <c r="B69" s="316"/>
      <c r="C69" s="146">
        <v>507.53</v>
      </c>
      <c r="D69" s="147">
        <v>7.17</v>
      </c>
      <c r="E69" s="146">
        <v>0.03</v>
      </c>
      <c r="F69" s="148">
        <f t="shared" si="7"/>
        <v>3638.9901</v>
      </c>
      <c r="G69" s="148">
        <f t="shared" si="8"/>
        <v>109.169703</v>
      </c>
      <c r="H69" s="148"/>
      <c r="I69" s="149">
        <f t="shared" si="9"/>
        <v>80029.03417821</v>
      </c>
      <c r="L69" s="166">
        <v>733.07</v>
      </c>
    </row>
    <row r="70" spans="1:16">
      <c r="A70" s="315" t="s">
        <v>427</v>
      </c>
      <c r="B70" s="316"/>
      <c r="C70" s="146">
        <v>594.53</v>
      </c>
      <c r="D70" s="146">
        <v>7.13</v>
      </c>
      <c r="E70" s="146">
        <v>0.03</v>
      </c>
      <c r="F70" s="148">
        <f t="shared" si="7"/>
        <v>4238.9988999999996</v>
      </c>
      <c r="G70" s="148">
        <f t="shared" si="8"/>
        <v>127.16996699999999</v>
      </c>
      <c r="H70" s="148"/>
      <c r="I70" s="149">
        <f t="shared" si="9"/>
        <v>93224.487708689994</v>
      </c>
      <c r="L70" s="166">
        <v>733.07</v>
      </c>
    </row>
    <row r="71" spans="1:16">
      <c r="A71" s="315" t="s">
        <v>426</v>
      </c>
      <c r="B71" s="316"/>
      <c r="C71" s="146">
        <v>597.11</v>
      </c>
      <c r="D71" s="146">
        <v>7.15</v>
      </c>
      <c r="E71" s="146">
        <v>0.03</v>
      </c>
      <c r="F71" s="148">
        <f t="shared" si="7"/>
        <v>4269.3365000000003</v>
      </c>
      <c r="G71" s="148">
        <f t="shared" si="8"/>
        <v>128.080095</v>
      </c>
      <c r="H71" s="148"/>
      <c r="I71" s="149">
        <f t="shared" si="9"/>
        <v>93891.675241650009</v>
      </c>
      <c r="L71" s="166">
        <v>733.07</v>
      </c>
    </row>
    <row r="72" spans="1:16">
      <c r="A72" s="315" t="s">
        <v>448</v>
      </c>
      <c r="B72" s="316"/>
      <c r="C72" s="146">
        <v>448.82</v>
      </c>
      <c r="D72" s="146">
        <v>7.07</v>
      </c>
      <c r="E72" s="146">
        <v>0.03</v>
      </c>
      <c r="F72" s="148">
        <f t="shared" si="7"/>
        <v>3173.1574000000001</v>
      </c>
      <c r="G72" s="148">
        <f t="shared" si="8"/>
        <v>95.194721999999999</v>
      </c>
      <c r="H72" s="148"/>
      <c r="I72" s="149">
        <f t="shared" si="9"/>
        <v>69784.394856540006</v>
      </c>
      <c r="L72" s="166">
        <v>733.07</v>
      </c>
    </row>
    <row r="73" spans="1:16">
      <c r="A73" s="315" t="s">
        <v>428</v>
      </c>
      <c r="B73" s="316"/>
      <c r="C73" s="146">
        <v>690.97</v>
      </c>
      <c r="D73" s="146">
        <v>7.12</v>
      </c>
      <c r="E73" s="146">
        <v>0.03</v>
      </c>
      <c r="F73" s="148">
        <f t="shared" si="7"/>
        <v>4919.7064</v>
      </c>
      <c r="G73" s="148">
        <f t="shared" si="8"/>
        <v>147.59119200000001</v>
      </c>
      <c r="H73" s="148"/>
      <c r="I73" s="149">
        <f t="shared" si="9"/>
        <v>108194.67511944001</v>
      </c>
      <c r="L73" s="166">
        <v>733.07</v>
      </c>
    </row>
    <row r="74" spans="1:16" ht="13.5" thickBot="1">
      <c r="A74" s="317"/>
      <c r="B74" s="318"/>
      <c r="C74" s="151">
        <f>SUM(C62:C73)</f>
        <v>5605.73</v>
      </c>
      <c r="D74" s="151"/>
      <c r="E74" s="151"/>
      <c r="F74" s="151">
        <f>SUM(F62:F73)</f>
        <v>39726.6397</v>
      </c>
      <c r="G74" s="151">
        <f>SUM(G62:G73)</f>
        <v>1191.7991910000001</v>
      </c>
      <c r="H74" s="151"/>
      <c r="I74" s="152">
        <f>SUM(I62:I73)</f>
        <v>873672.23294637003</v>
      </c>
    </row>
    <row r="75" spans="1:16" ht="14.25" thickBot="1">
      <c r="A75" s="176"/>
      <c r="B75" s="177"/>
      <c r="C75" s="177"/>
      <c r="D75" s="177"/>
      <c r="E75" s="177"/>
      <c r="F75" s="177"/>
      <c r="G75" s="177"/>
      <c r="H75" s="177"/>
      <c r="I75" s="178"/>
    </row>
    <row r="76" spans="1:16">
      <c r="A76" s="154" t="s">
        <v>0</v>
      </c>
      <c r="B76" s="155" t="s">
        <v>470</v>
      </c>
      <c r="C76" s="323" t="s">
        <v>449</v>
      </c>
      <c r="D76" s="325" t="s">
        <v>463</v>
      </c>
      <c r="E76" s="325"/>
      <c r="F76" s="325"/>
      <c r="G76" s="325"/>
      <c r="H76" s="325"/>
      <c r="I76" s="156" t="s">
        <v>3</v>
      </c>
    </row>
    <row r="77" spans="1:16" ht="13.5">
      <c r="A77" s="168" t="s">
        <v>450</v>
      </c>
      <c r="B77" s="175" t="s">
        <v>344</v>
      </c>
      <c r="C77" s="324"/>
      <c r="D77" s="326"/>
      <c r="E77" s="326"/>
      <c r="F77" s="326"/>
      <c r="G77" s="326"/>
      <c r="H77" s="326"/>
      <c r="I77" s="170" t="s">
        <v>457</v>
      </c>
    </row>
    <row r="78" spans="1:16" ht="25.5">
      <c r="A78" s="327" t="s">
        <v>441</v>
      </c>
      <c r="B78" s="328"/>
      <c r="C78" s="160" t="s">
        <v>442</v>
      </c>
      <c r="D78" s="160" t="s">
        <v>443</v>
      </c>
      <c r="E78" s="161" t="s">
        <v>460</v>
      </c>
      <c r="F78" s="162" t="s">
        <v>451</v>
      </c>
      <c r="G78" s="163" t="s">
        <v>452</v>
      </c>
      <c r="H78" s="161" t="s">
        <v>453</v>
      </c>
      <c r="I78" s="164" t="s">
        <v>454</v>
      </c>
    </row>
    <row r="79" spans="1:16" ht="13.5">
      <c r="A79" s="321" t="s">
        <v>3</v>
      </c>
      <c r="B79" s="322"/>
      <c r="C79" s="141" t="s">
        <v>23</v>
      </c>
      <c r="D79" s="141" t="s">
        <v>23</v>
      </c>
      <c r="E79" s="142" t="s">
        <v>23</v>
      </c>
      <c r="F79" s="144" t="s">
        <v>299</v>
      </c>
      <c r="G79" s="144" t="s">
        <v>464</v>
      </c>
      <c r="H79" s="144" t="s">
        <v>341</v>
      </c>
      <c r="I79" s="172">
        <v>0.88</v>
      </c>
    </row>
    <row r="80" spans="1:16">
      <c r="A80" s="319" t="s">
        <v>419</v>
      </c>
      <c r="B80" s="320"/>
      <c r="C80" s="146">
        <v>66.45</v>
      </c>
      <c r="D80" s="147">
        <v>7.12</v>
      </c>
      <c r="E80" s="146">
        <v>0.03</v>
      </c>
      <c r="F80" s="148">
        <f>C80*D80*E80</f>
        <v>14.193720000000001</v>
      </c>
      <c r="G80" s="179">
        <v>0.23280000000000001</v>
      </c>
      <c r="H80" s="148">
        <f>F80*J80*P80</f>
        <v>561.73066272000005</v>
      </c>
      <c r="I80" s="149">
        <f>H80*K80</f>
        <v>494.32298319360007</v>
      </c>
      <c r="J80">
        <v>0.23280000000000001</v>
      </c>
      <c r="K80">
        <v>0.88</v>
      </c>
      <c r="L80" s="180"/>
      <c r="P80">
        <v>170</v>
      </c>
    </row>
    <row r="81" spans="1:16">
      <c r="A81" s="315" t="s">
        <v>420</v>
      </c>
      <c r="B81" s="316"/>
      <c r="C81" s="146">
        <v>363.77</v>
      </c>
      <c r="D81" s="147">
        <v>6.97</v>
      </c>
      <c r="E81" s="146">
        <v>0.03</v>
      </c>
      <c r="F81" s="148">
        <f t="shared" ref="F81:F91" si="10">C81*D81*E81</f>
        <v>76.064306999999985</v>
      </c>
      <c r="G81" s="179">
        <v>0.23280000000000001</v>
      </c>
      <c r="H81" s="148">
        <f t="shared" ref="H81:H91" si="11">F81*J81*P81</f>
        <v>3010.3210138319996</v>
      </c>
      <c r="I81" s="149">
        <f t="shared" ref="I81:I91" si="12">H81*K81</f>
        <v>2649.0824921721596</v>
      </c>
      <c r="J81">
        <v>0.23280000000000001</v>
      </c>
      <c r="K81">
        <v>0.88</v>
      </c>
      <c r="L81" s="180"/>
      <c r="P81">
        <v>170</v>
      </c>
    </row>
    <row r="82" spans="1:16">
      <c r="A82" s="315" t="s">
        <v>421</v>
      </c>
      <c r="B82" s="316"/>
      <c r="C82" s="146">
        <v>519.14</v>
      </c>
      <c r="D82" s="146">
        <v>6.96</v>
      </c>
      <c r="E82" s="146">
        <v>0.03</v>
      </c>
      <c r="F82" s="148">
        <f t="shared" si="10"/>
        <v>108.39643199999999</v>
      </c>
      <c r="G82" s="179">
        <v>0.23280000000000001</v>
      </c>
      <c r="H82" s="148">
        <f t="shared" si="11"/>
        <v>4289.8971928319997</v>
      </c>
      <c r="I82" s="149">
        <f t="shared" si="12"/>
        <v>3775.1095296921599</v>
      </c>
      <c r="J82">
        <v>0.23280000000000001</v>
      </c>
      <c r="K82">
        <v>0.88</v>
      </c>
      <c r="L82" s="180"/>
      <c r="P82">
        <v>170</v>
      </c>
    </row>
    <row r="83" spans="1:16">
      <c r="A83" s="315" t="s">
        <v>446</v>
      </c>
      <c r="B83" s="316"/>
      <c r="C83" s="146">
        <v>532.35</v>
      </c>
      <c r="D83" s="146">
        <v>7.03</v>
      </c>
      <c r="E83" s="146">
        <v>0.03</v>
      </c>
      <c r="F83" s="148">
        <f t="shared" si="10"/>
        <v>112.272615</v>
      </c>
      <c r="G83" s="179">
        <v>0.23280000000000001</v>
      </c>
      <c r="H83" s="148">
        <f t="shared" si="11"/>
        <v>4443.3010112400007</v>
      </c>
      <c r="I83" s="149">
        <f t="shared" si="12"/>
        <v>3910.1048898912004</v>
      </c>
      <c r="J83">
        <v>0.23280000000000001</v>
      </c>
      <c r="K83">
        <v>0.88</v>
      </c>
      <c r="L83" s="180"/>
      <c r="P83">
        <v>170</v>
      </c>
    </row>
    <row r="84" spans="1:16">
      <c r="A84" s="315" t="s">
        <v>422</v>
      </c>
      <c r="B84" s="316"/>
      <c r="C84" s="146">
        <v>546.94000000000005</v>
      </c>
      <c r="D84" s="146">
        <v>7.81</v>
      </c>
      <c r="E84" s="146">
        <v>0.03</v>
      </c>
      <c r="F84" s="148">
        <f t="shared" si="10"/>
        <v>128.148042</v>
      </c>
      <c r="G84" s="179">
        <v>0.23280000000000001</v>
      </c>
      <c r="H84" s="148">
        <f t="shared" si="11"/>
        <v>5071.5869101919998</v>
      </c>
      <c r="I84" s="149">
        <f t="shared" si="12"/>
        <v>4462.99648096896</v>
      </c>
      <c r="J84">
        <v>0.23280000000000001</v>
      </c>
      <c r="K84">
        <v>0.88</v>
      </c>
      <c r="L84" s="180"/>
      <c r="P84">
        <v>170</v>
      </c>
    </row>
    <row r="85" spans="1:16">
      <c r="A85" s="315" t="s">
        <v>423</v>
      </c>
      <c r="B85" s="316"/>
      <c r="C85" s="146">
        <v>213.65</v>
      </c>
      <c r="D85" s="146">
        <v>6.6</v>
      </c>
      <c r="E85" s="146">
        <v>0.03</v>
      </c>
      <c r="F85" s="148">
        <f t="shared" si="10"/>
        <v>42.302699999999994</v>
      </c>
      <c r="G85" s="179">
        <v>0.23280000000000001</v>
      </c>
      <c r="H85" s="148">
        <f t="shared" si="11"/>
        <v>1674.1716552</v>
      </c>
      <c r="I85" s="149">
        <f t="shared" si="12"/>
        <v>1473.2710565760001</v>
      </c>
      <c r="J85">
        <v>0.23280000000000001</v>
      </c>
      <c r="K85">
        <v>0.88</v>
      </c>
      <c r="L85" s="180"/>
      <c r="P85">
        <v>170</v>
      </c>
    </row>
    <row r="86" spans="1:16">
      <c r="A86" s="319" t="s">
        <v>424</v>
      </c>
      <c r="B86" s="320"/>
      <c r="C86" s="146">
        <v>524.47</v>
      </c>
      <c r="D86" s="147">
        <v>6.56</v>
      </c>
      <c r="E86" s="146">
        <v>0.03</v>
      </c>
      <c r="F86" s="148">
        <f t="shared" si="10"/>
        <v>103.21569599999999</v>
      </c>
      <c r="G86" s="179">
        <v>0.23280000000000001</v>
      </c>
      <c r="H86" s="148">
        <f t="shared" si="11"/>
        <v>4084.864384896</v>
      </c>
      <c r="I86" s="149">
        <f t="shared" si="12"/>
        <v>3594.6806587084802</v>
      </c>
      <c r="J86">
        <v>0.23280000000000001</v>
      </c>
      <c r="K86">
        <v>0.88</v>
      </c>
      <c r="L86" s="180"/>
      <c r="P86">
        <v>170</v>
      </c>
    </row>
    <row r="87" spans="1:16">
      <c r="A87" s="315" t="s">
        <v>447</v>
      </c>
      <c r="B87" s="316"/>
      <c r="C87" s="146">
        <v>507.53</v>
      </c>
      <c r="D87" s="147">
        <v>7.17</v>
      </c>
      <c r="E87" s="146">
        <v>0.03</v>
      </c>
      <c r="F87" s="148">
        <f t="shared" si="10"/>
        <v>109.169703</v>
      </c>
      <c r="G87" s="179">
        <v>0.23280000000000001</v>
      </c>
      <c r="H87" s="148">
        <f t="shared" si="11"/>
        <v>4320.5001659279997</v>
      </c>
      <c r="I87" s="149">
        <f t="shared" si="12"/>
        <v>3802.0401460166399</v>
      </c>
      <c r="J87">
        <v>0.23280000000000001</v>
      </c>
      <c r="K87">
        <v>0.88</v>
      </c>
      <c r="L87" s="180"/>
      <c r="P87">
        <v>170</v>
      </c>
    </row>
    <row r="88" spans="1:16">
      <c r="A88" s="315" t="s">
        <v>427</v>
      </c>
      <c r="B88" s="316"/>
      <c r="C88" s="146">
        <v>594.53</v>
      </c>
      <c r="D88" s="146">
        <v>7.13</v>
      </c>
      <c r="E88" s="146">
        <v>0.03</v>
      </c>
      <c r="F88" s="148">
        <f t="shared" si="10"/>
        <v>127.16996699999999</v>
      </c>
      <c r="G88" s="179">
        <v>0.23280000000000001</v>
      </c>
      <c r="H88" s="148">
        <f t="shared" si="11"/>
        <v>5032.8786139919994</v>
      </c>
      <c r="I88" s="149">
        <f t="shared" si="12"/>
        <v>4428.9331803129598</v>
      </c>
      <c r="J88">
        <v>0.23280000000000001</v>
      </c>
      <c r="K88">
        <v>0.88</v>
      </c>
      <c r="L88" s="180"/>
      <c r="P88">
        <v>170</v>
      </c>
    </row>
    <row r="89" spans="1:16">
      <c r="A89" s="315" t="s">
        <v>426</v>
      </c>
      <c r="B89" s="316"/>
      <c r="C89" s="146">
        <v>597.11</v>
      </c>
      <c r="D89" s="146">
        <v>7.15</v>
      </c>
      <c r="E89" s="146">
        <v>0.03</v>
      </c>
      <c r="F89" s="148">
        <f t="shared" si="10"/>
        <v>128.080095</v>
      </c>
      <c r="G89" s="179">
        <v>0.23280000000000001</v>
      </c>
      <c r="H89" s="148">
        <f t="shared" si="11"/>
        <v>5068.8978397199999</v>
      </c>
      <c r="I89" s="149">
        <f t="shared" si="12"/>
        <v>4460.6300989536003</v>
      </c>
      <c r="J89">
        <v>0.23280000000000001</v>
      </c>
      <c r="K89">
        <v>0.88</v>
      </c>
      <c r="L89" s="180"/>
      <c r="P89">
        <v>170</v>
      </c>
    </row>
    <row r="90" spans="1:16">
      <c r="A90" s="315" t="s">
        <v>448</v>
      </c>
      <c r="B90" s="316"/>
      <c r="C90" s="146">
        <v>448.82</v>
      </c>
      <c r="D90" s="146">
        <v>7.07</v>
      </c>
      <c r="E90" s="146">
        <v>0.03</v>
      </c>
      <c r="F90" s="148">
        <f t="shared" si="10"/>
        <v>95.194721999999999</v>
      </c>
      <c r="G90" s="179">
        <v>0.23280000000000001</v>
      </c>
      <c r="H90" s="148">
        <f t="shared" si="11"/>
        <v>3767.4263178719998</v>
      </c>
      <c r="I90" s="149">
        <f t="shared" si="12"/>
        <v>3315.33515972736</v>
      </c>
      <c r="J90">
        <v>0.23280000000000001</v>
      </c>
      <c r="K90">
        <v>0.88</v>
      </c>
      <c r="L90" s="180"/>
      <c r="P90">
        <v>170</v>
      </c>
    </row>
    <row r="91" spans="1:16">
      <c r="A91" s="315" t="s">
        <v>428</v>
      </c>
      <c r="B91" s="316"/>
      <c r="C91" s="146">
        <v>690.97</v>
      </c>
      <c r="D91" s="146">
        <v>7.12</v>
      </c>
      <c r="E91" s="146">
        <v>0.03</v>
      </c>
      <c r="F91" s="148">
        <f t="shared" si="10"/>
        <v>147.59119200000001</v>
      </c>
      <c r="G91" s="179">
        <v>0.23280000000000001</v>
      </c>
      <c r="H91" s="148">
        <f t="shared" si="11"/>
        <v>5841.0690145920007</v>
      </c>
      <c r="I91" s="149">
        <f t="shared" si="12"/>
        <v>5140.1407328409605</v>
      </c>
      <c r="J91">
        <v>0.23280000000000001</v>
      </c>
      <c r="K91">
        <v>0.88</v>
      </c>
      <c r="L91" s="180"/>
      <c r="P91">
        <v>170</v>
      </c>
    </row>
    <row r="92" spans="1:16" ht="13.5" thickBot="1">
      <c r="A92" s="317"/>
      <c r="B92" s="318"/>
      <c r="C92" s="151"/>
      <c r="D92" s="167"/>
      <c r="E92" s="167"/>
      <c r="F92" s="151"/>
      <c r="G92" s="151"/>
      <c r="H92" s="151">
        <f>SUM(H80:H91)</f>
        <v>47166.644783015996</v>
      </c>
      <c r="I92" s="152">
        <f>SUM(I80:I91)</f>
        <v>41506.64740905408</v>
      </c>
    </row>
    <row r="93" spans="1:16" ht="14.25" thickBot="1">
      <c r="A93" s="153"/>
      <c r="B93" s="153"/>
      <c r="C93" s="153"/>
      <c r="D93" s="153"/>
      <c r="E93" s="153"/>
      <c r="F93" s="153"/>
      <c r="G93" s="153"/>
      <c r="H93" s="153"/>
      <c r="I93" s="153"/>
    </row>
    <row r="94" spans="1:16">
      <c r="A94" s="154" t="s">
        <v>0</v>
      </c>
      <c r="B94" s="155" t="s">
        <v>470</v>
      </c>
      <c r="C94" s="323" t="s">
        <v>449</v>
      </c>
      <c r="D94" s="325" t="s">
        <v>465</v>
      </c>
      <c r="E94" s="325"/>
      <c r="F94" s="325"/>
      <c r="G94" s="325"/>
      <c r="H94" s="325"/>
      <c r="I94" s="156" t="s">
        <v>3</v>
      </c>
    </row>
    <row r="95" spans="1:16" ht="13.5">
      <c r="A95" s="168" t="s">
        <v>450</v>
      </c>
      <c r="B95" s="175" t="s">
        <v>346</v>
      </c>
      <c r="C95" s="324"/>
      <c r="D95" s="326"/>
      <c r="E95" s="326"/>
      <c r="F95" s="326"/>
      <c r="G95" s="326"/>
      <c r="H95" s="326"/>
      <c r="I95" s="170" t="s">
        <v>457</v>
      </c>
    </row>
    <row r="96" spans="1:16" ht="25.5">
      <c r="A96" s="327" t="s">
        <v>441</v>
      </c>
      <c r="B96" s="328"/>
      <c r="C96" s="160" t="s">
        <v>442</v>
      </c>
      <c r="D96" s="160" t="s">
        <v>443</v>
      </c>
      <c r="E96" s="161" t="s">
        <v>460</v>
      </c>
      <c r="F96" s="162" t="s">
        <v>451</v>
      </c>
      <c r="G96" s="163" t="s">
        <v>452</v>
      </c>
      <c r="H96" s="161" t="s">
        <v>453</v>
      </c>
      <c r="I96" s="164" t="s">
        <v>454</v>
      </c>
    </row>
    <row r="97" spans="1:16" ht="13.5">
      <c r="A97" s="321" t="s">
        <v>3</v>
      </c>
      <c r="B97" s="322"/>
      <c r="C97" s="141" t="s">
        <v>23</v>
      </c>
      <c r="D97" s="141" t="s">
        <v>23</v>
      </c>
      <c r="E97" s="142" t="s">
        <v>23</v>
      </c>
      <c r="F97" s="144" t="s">
        <v>299</v>
      </c>
      <c r="G97" s="144" t="s">
        <v>455</v>
      </c>
      <c r="H97" s="144" t="s">
        <v>341</v>
      </c>
      <c r="I97" s="172">
        <v>1.46</v>
      </c>
    </row>
    <row r="98" spans="1:16">
      <c r="A98" s="319" t="s">
        <v>419</v>
      </c>
      <c r="B98" s="320"/>
      <c r="C98" s="146">
        <v>66.45</v>
      </c>
      <c r="D98" s="147">
        <v>7.12</v>
      </c>
      <c r="E98" s="146">
        <v>0.03</v>
      </c>
      <c r="F98" s="148">
        <f>C98*D98*E98</f>
        <v>14.193720000000001</v>
      </c>
      <c r="G98" s="181">
        <v>1.3224</v>
      </c>
      <c r="H98" s="148">
        <f>F98*G98*P98</f>
        <v>93.848876640000015</v>
      </c>
      <c r="I98" s="149">
        <f>H98*K98</f>
        <v>137.01935989440003</v>
      </c>
      <c r="K98">
        <v>1.46</v>
      </c>
      <c r="L98" s="180"/>
      <c r="P98">
        <v>5</v>
      </c>
    </row>
    <row r="99" spans="1:16">
      <c r="A99" s="315" t="s">
        <v>420</v>
      </c>
      <c r="B99" s="316"/>
      <c r="C99" s="146">
        <v>363.77</v>
      </c>
      <c r="D99" s="147">
        <v>6.97</v>
      </c>
      <c r="E99" s="146">
        <v>0.03</v>
      </c>
      <c r="F99" s="148">
        <f t="shared" ref="F99:F109" si="13">C99*D99*E99</f>
        <v>76.064306999999985</v>
      </c>
      <c r="G99" s="181">
        <v>1.3224</v>
      </c>
      <c r="H99" s="148">
        <f t="shared" ref="H99:H109" si="14">F99*G99*P99</f>
        <v>502.93719788399989</v>
      </c>
      <c r="I99" s="149">
        <f>H99*K99</f>
        <v>734.28830891063978</v>
      </c>
      <c r="K99">
        <v>1.46</v>
      </c>
      <c r="L99" s="180"/>
      <c r="P99">
        <v>5</v>
      </c>
    </row>
    <row r="100" spans="1:16">
      <c r="A100" s="315" t="s">
        <v>421</v>
      </c>
      <c r="B100" s="316"/>
      <c r="C100" s="146">
        <v>519.14</v>
      </c>
      <c r="D100" s="146">
        <v>6.96</v>
      </c>
      <c r="E100" s="146">
        <v>0.03</v>
      </c>
      <c r="F100" s="148">
        <f t="shared" si="13"/>
        <v>108.39643199999999</v>
      </c>
      <c r="G100" s="181">
        <v>1.3224</v>
      </c>
      <c r="H100" s="148">
        <f t="shared" si="14"/>
        <v>716.71720838399995</v>
      </c>
      <c r="I100" s="149">
        <f>H100*K100</f>
        <v>1046.4071242406399</v>
      </c>
      <c r="K100">
        <v>1.46</v>
      </c>
      <c r="L100" s="180"/>
      <c r="P100">
        <v>5</v>
      </c>
    </row>
    <row r="101" spans="1:16">
      <c r="A101" s="315" t="s">
        <v>446</v>
      </c>
      <c r="B101" s="316"/>
      <c r="C101" s="146">
        <v>532.35</v>
      </c>
      <c r="D101" s="146">
        <v>7.03</v>
      </c>
      <c r="E101" s="146">
        <v>0.03</v>
      </c>
      <c r="F101" s="148">
        <f t="shared" si="13"/>
        <v>112.272615</v>
      </c>
      <c r="G101" s="181">
        <v>1.3224</v>
      </c>
      <c r="H101" s="148">
        <f t="shared" si="14"/>
        <v>742.3465303800001</v>
      </c>
      <c r="I101" s="149">
        <f t="shared" ref="I101:I109" si="15">H101*K101</f>
        <v>1083.8259343548002</v>
      </c>
      <c r="K101">
        <v>1.46</v>
      </c>
      <c r="L101" s="180"/>
      <c r="P101">
        <v>5</v>
      </c>
    </row>
    <row r="102" spans="1:16">
      <c r="A102" s="315" t="s">
        <v>422</v>
      </c>
      <c r="B102" s="316"/>
      <c r="C102" s="146">
        <v>546.94000000000005</v>
      </c>
      <c r="D102" s="146">
        <v>7.81</v>
      </c>
      <c r="E102" s="146">
        <v>0.03</v>
      </c>
      <c r="F102" s="148">
        <f t="shared" si="13"/>
        <v>128.148042</v>
      </c>
      <c r="G102" s="181">
        <v>1.3224</v>
      </c>
      <c r="H102" s="148">
        <f t="shared" si="14"/>
        <v>847.31485370400014</v>
      </c>
      <c r="I102" s="149">
        <f t="shared" si="15"/>
        <v>1237.0796864078402</v>
      </c>
      <c r="K102">
        <v>1.46</v>
      </c>
      <c r="L102" s="180"/>
      <c r="P102">
        <v>5</v>
      </c>
    </row>
    <row r="103" spans="1:16">
      <c r="A103" s="315" t="s">
        <v>423</v>
      </c>
      <c r="B103" s="316"/>
      <c r="C103" s="146">
        <v>213.65</v>
      </c>
      <c r="D103" s="146">
        <v>6.6</v>
      </c>
      <c r="E103" s="146">
        <v>0.03</v>
      </c>
      <c r="F103" s="148">
        <f t="shared" si="13"/>
        <v>42.302699999999994</v>
      </c>
      <c r="G103" s="181">
        <v>1.3224</v>
      </c>
      <c r="H103" s="148">
        <f t="shared" si="14"/>
        <v>279.70545239999996</v>
      </c>
      <c r="I103" s="149">
        <f t="shared" si="15"/>
        <v>408.36996050399995</v>
      </c>
      <c r="K103">
        <v>1.46</v>
      </c>
      <c r="L103" s="180"/>
      <c r="P103">
        <v>5</v>
      </c>
    </row>
    <row r="104" spans="1:16">
      <c r="A104" s="319" t="s">
        <v>424</v>
      </c>
      <c r="B104" s="320"/>
      <c r="C104" s="146">
        <v>524.47</v>
      </c>
      <c r="D104" s="147">
        <v>6.56</v>
      </c>
      <c r="E104" s="146">
        <v>0.03</v>
      </c>
      <c r="F104" s="148">
        <f t="shared" si="13"/>
        <v>103.21569599999999</v>
      </c>
      <c r="G104" s="181">
        <v>1.3224</v>
      </c>
      <c r="H104" s="148">
        <f t="shared" si="14"/>
        <v>682.46218195200004</v>
      </c>
      <c r="I104" s="149">
        <f t="shared" si="15"/>
        <v>996.39478564991998</v>
      </c>
      <c r="K104">
        <v>1.46</v>
      </c>
      <c r="L104" s="180"/>
      <c r="P104">
        <v>5</v>
      </c>
    </row>
    <row r="105" spans="1:16">
      <c r="A105" s="315" t="s">
        <v>447</v>
      </c>
      <c r="B105" s="316"/>
      <c r="C105" s="146">
        <v>507.53</v>
      </c>
      <c r="D105" s="147">
        <v>7.17</v>
      </c>
      <c r="E105" s="146">
        <v>0.03</v>
      </c>
      <c r="F105" s="148">
        <f t="shared" si="13"/>
        <v>109.169703</v>
      </c>
      <c r="G105" s="181">
        <v>1.3224</v>
      </c>
      <c r="H105" s="148">
        <f t="shared" si="14"/>
        <v>721.83007623600008</v>
      </c>
      <c r="I105" s="149">
        <f t="shared" si="15"/>
        <v>1053.8719113045602</v>
      </c>
      <c r="K105">
        <v>1.46</v>
      </c>
      <c r="L105" s="180"/>
      <c r="P105">
        <v>5</v>
      </c>
    </row>
    <row r="106" spans="1:16">
      <c r="A106" s="315" t="s">
        <v>427</v>
      </c>
      <c r="B106" s="316"/>
      <c r="C106" s="146">
        <v>594.53</v>
      </c>
      <c r="D106" s="146">
        <v>7.13</v>
      </c>
      <c r="E106" s="146">
        <v>0.03</v>
      </c>
      <c r="F106" s="148">
        <f t="shared" si="13"/>
        <v>127.16996699999999</v>
      </c>
      <c r="G106" s="181">
        <v>1.3224</v>
      </c>
      <c r="H106" s="148">
        <f t="shared" si="14"/>
        <v>840.84782180399998</v>
      </c>
      <c r="I106" s="149">
        <f t="shared" si="15"/>
        <v>1227.63781983384</v>
      </c>
      <c r="K106">
        <v>1.46</v>
      </c>
      <c r="L106" s="180"/>
      <c r="P106">
        <v>5</v>
      </c>
    </row>
    <row r="107" spans="1:16">
      <c r="A107" s="315" t="s">
        <v>426</v>
      </c>
      <c r="B107" s="316"/>
      <c r="C107" s="146">
        <v>597.11</v>
      </c>
      <c r="D107" s="146">
        <v>7.15</v>
      </c>
      <c r="E107" s="146">
        <v>0.03</v>
      </c>
      <c r="F107" s="148">
        <f t="shared" si="13"/>
        <v>128.080095</v>
      </c>
      <c r="G107" s="181">
        <v>1.3224</v>
      </c>
      <c r="H107" s="148">
        <f t="shared" si="14"/>
        <v>846.86558814</v>
      </c>
      <c r="I107" s="149">
        <f t="shared" si="15"/>
        <v>1236.4237586843999</v>
      </c>
      <c r="K107">
        <v>1.46</v>
      </c>
      <c r="L107" s="180"/>
      <c r="P107">
        <v>5</v>
      </c>
    </row>
    <row r="108" spans="1:16">
      <c r="A108" s="315" t="s">
        <v>448</v>
      </c>
      <c r="B108" s="316"/>
      <c r="C108" s="146">
        <v>448.82</v>
      </c>
      <c r="D108" s="146">
        <v>7.07</v>
      </c>
      <c r="E108" s="146">
        <v>0.03</v>
      </c>
      <c r="F108" s="148">
        <f t="shared" si="13"/>
        <v>95.194721999999999</v>
      </c>
      <c r="G108" s="181">
        <v>1.3224</v>
      </c>
      <c r="H108" s="148">
        <f t="shared" si="14"/>
        <v>629.42750186399996</v>
      </c>
      <c r="I108" s="149">
        <f t="shared" si="15"/>
        <v>918.96415272143997</v>
      </c>
      <c r="K108">
        <v>1.46</v>
      </c>
      <c r="L108" s="180"/>
      <c r="P108">
        <v>5</v>
      </c>
    </row>
    <row r="109" spans="1:16">
      <c r="A109" s="315" t="s">
        <v>428</v>
      </c>
      <c r="B109" s="316"/>
      <c r="C109" s="146">
        <v>690.97</v>
      </c>
      <c r="D109" s="146">
        <v>7.12</v>
      </c>
      <c r="E109" s="146">
        <v>0.03</v>
      </c>
      <c r="F109" s="148">
        <f t="shared" si="13"/>
        <v>147.59119200000001</v>
      </c>
      <c r="G109" s="181">
        <v>1.3224</v>
      </c>
      <c r="H109" s="148">
        <f t="shared" si="14"/>
        <v>975.87296150400005</v>
      </c>
      <c r="I109" s="149">
        <f t="shared" si="15"/>
        <v>1424.77452379584</v>
      </c>
      <c r="K109">
        <v>1.46</v>
      </c>
      <c r="L109" s="180"/>
      <c r="P109">
        <v>5</v>
      </c>
    </row>
    <row r="110" spans="1:16" ht="13.5" thickBot="1">
      <c r="A110" s="317"/>
      <c r="B110" s="318"/>
      <c r="C110" s="151"/>
      <c r="D110" s="167"/>
      <c r="E110" s="167"/>
      <c r="F110" s="151"/>
      <c r="G110" s="151"/>
      <c r="H110" s="151">
        <f>SUM(H98:H109)</f>
        <v>7880.176250892001</v>
      </c>
      <c r="I110" s="152">
        <f>SUM(I98:I109)</f>
        <v>11505.057326302322</v>
      </c>
    </row>
    <row r="111" spans="1:16" ht="13.5" thickBot="1"/>
    <row r="112" spans="1:16">
      <c r="A112" s="154" t="s">
        <v>0</v>
      </c>
      <c r="B112" s="155" t="s">
        <v>470</v>
      </c>
      <c r="C112" s="323" t="s">
        <v>449</v>
      </c>
      <c r="D112" s="325" t="s">
        <v>468</v>
      </c>
      <c r="E112" s="325"/>
      <c r="F112" s="325"/>
      <c r="G112" s="325"/>
      <c r="H112" s="325"/>
      <c r="I112" s="156" t="s">
        <v>3</v>
      </c>
    </row>
    <row r="113" spans="1:16" ht="13.5">
      <c r="A113" s="168" t="s">
        <v>450</v>
      </c>
      <c r="B113" s="175" t="s">
        <v>331</v>
      </c>
      <c r="C113" s="324"/>
      <c r="D113" s="326"/>
      <c r="E113" s="326"/>
      <c r="F113" s="326"/>
      <c r="G113" s="326"/>
      <c r="H113" s="326"/>
      <c r="I113" s="170" t="s">
        <v>457</v>
      </c>
    </row>
    <row r="114" spans="1:16" ht="25.5">
      <c r="A114" s="327" t="s">
        <v>441</v>
      </c>
      <c r="B114" s="328"/>
      <c r="C114" s="160" t="s">
        <v>442</v>
      </c>
      <c r="D114" s="160" t="s">
        <v>443</v>
      </c>
      <c r="E114" s="161" t="s">
        <v>460</v>
      </c>
      <c r="F114" s="162" t="s">
        <v>451</v>
      </c>
      <c r="G114" s="163" t="s">
        <v>452</v>
      </c>
      <c r="H114" s="161" t="s">
        <v>453</v>
      </c>
      <c r="I114" s="164" t="s">
        <v>454</v>
      </c>
    </row>
    <row r="115" spans="1:16" ht="13.5">
      <c r="A115" s="321" t="s">
        <v>3</v>
      </c>
      <c r="B115" s="322"/>
      <c r="C115" s="141" t="s">
        <v>23</v>
      </c>
      <c r="D115" s="141" t="s">
        <v>23</v>
      </c>
      <c r="E115" s="142" t="s">
        <v>23</v>
      </c>
      <c r="F115" s="144" t="s">
        <v>299</v>
      </c>
      <c r="G115" s="144" t="s">
        <v>466</v>
      </c>
      <c r="H115" s="144" t="s">
        <v>332</v>
      </c>
      <c r="I115" s="172">
        <v>0.57999999999999996</v>
      </c>
    </row>
    <row r="116" spans="1:16">
      <c r="A116" s="319" t="s">
        <v>419</v>
      </c>
      <c r="B116" s="320"/>
      <c r="C116" s="146">
        <v>66.45</v>
      </c>
      <c r="D116" s="147">
        <v>7.12</v>
      </c>
      <c r="E116" s="146">
        <v>0.03</v>
      </c>
      <c r="F116" s="148">
        <f>C116*D116*E116</f>
        <v>14.193720000000001</v>
      </c>
      <c r="G116" s="181">
        <v>0.14399999999999999</v>
      </c>
      <c r="H116" s="148">
        <f>F116*G116*P116</f>
        <v>878.87514239999996</v>
      </c>
      <c r="I116" s="149">
        <f>H116*K116</f>
        <v>509.74758259199996</v>
      </c>
      <c r="K116">
        <v>0.57999999999999996</v>
      </c>
      <c r="L116" s="180"/>
      <c r="P116">
        <v>430</v>
      </c>
    </row>
    <row r="117" spans="1:16">
      <c r="A117" s="315" t="s">
        <v>420</v>
      </c>
      <c r="B117" s="316"/>
      <c r="C117" s="146">
        <v>363.77</v>
      </c>
      <c r="D117" s="147">
        <v>6.97</v>
      </c>
      <c r="E117" s="146">
        <v>0.03</v>
      </c>
      <c r="F117" s="148">
        <f t="shared" ref="F117:F127" si="16">C117*D117*E117</f>
        <v>76.064306999999985</v>
      </c>
      <c r="G117" s="181">
        <v>0.14399999999999999</v>
      </c>
      <c r="H117" s="148">
        <f t="shared" ref="H117:H127" si="17">F117*G117*P117</f>
        <v>4709.9018894399987</v>
      </c>
      <c r="I117" s="149">
        <f t="shared" ref="I117:I127" si="18">H117*K117</f>
        <v>2731.7430958751993</v>
      </c>
      <c r="K117">
        <v>0.57999999999999996</v>
      </c>
      <c r="L117" s="180"/>
      <c r="P117">
        <v>430</v>
      </c>
    </row>
    <row r="118" spans="1:16">
      <c r="A118" s="315" t="s">
        <v>421</v>
      </c>
      <c r="B118" s="316"/>
      <c r="C118" s="146">
        <v>519.14</v>
      </c>
      <c r="D118" s="146">
        <v>6.96</v>
      </c>
      <c r="E118" s="146">
        <v>0.03</v>
      </c>
      <c r="F118" s="148">
        <f t="shared" si="16"/>
        <v>108.39643199999999</v>
      </c>
      <c r="G118" s="181">
        <v>0.14399999999999999</v>
      </c>
      <c r="H118" s="148">
        <f t="shared" si="17"/>
        <v>6711.9070694399988</v>
      </c>
      <c r="I118" s="149">
        <f t="shared" si="18"/>
        <v>3892.9061002751992</v>
      </c>
      <c r="K118">
        <v>0.57999999999999996</v>
      </c>
      <c r="L118" s="180"/>
      <c r="P118">
        <v>430</v>
      </c>
    </row>
    <row r="119" spans="1:16">
      <c r="A119" s="315" t="s">
        <v>446</v>
      </c>
      <c r="B119" s="316"/>
      <c r="C119" s="146">
        <v>532.35</v>
      </c>
      <c r="D119" s="146">
        <v>7.03</v>
      </c>
      <c r="E119" s="146">
        <v>0.03</v>
      </c>
      <c r="F119" s="148">
        <f t="shared" si="16"/>
        <v>112.272615</v>
      </c>
      <c r="G119" s="181">
        <v>0.14399999999999999</v>
      </c>
      <c r="H119" s="148">
        <f t="shared" si="17"/>
        <v>6951.920320799999</v>
      </c>
      <c r="I119" s="149">
        <f t="shared" si="18"/>
        <v>4032.1137860639992</v>
      </c>
      <c r="K119">
        <v>0.57999999999999996</v>
      </c>
      <c r="L119" s="180"/>
      <c r="P119">
        <v>430</v>
      </c>
    </row>
    <row r="120" spans="1:16">
      <c r="A120" s="315" t="s">
        <v>422</v>
      </c>
      <c r="B120" s="316"/>
      <c r="C120" s="146">
        <v>546.94000000000005</v>
      </c>
      <c r="D120" s="146">
        <v>7.81</v>
      </c>
      <c r="E120" s="146">
        <v>0.03</v>
      </c>
      <c r="F120" s="148">
        <f t="shared" si="16"/>
        <v>128.148042</v>
      </c>
      <c r="G120" s="181">
        <v>0.14399999999999999</v>
      </c>
      <c r="H120" s="148">
        <f t="shared" si="17"/>
        <v>7934.9267606399999</v>
      </c>
      <c r="I120" s="149">
        <f t="shared" si="18"/>
        <v>4602.2575211711992</v>
      </c>
      <c r="K120">
        <v>0.57999999999999996</v>
      </c>
      <c r="L120" s="180"/>
      <c r="P120">
        <v>430</v>
      </c>
    </row>
    <row r="121" spans="1:16">
      <c r="A121" s="315" t="s">
        <v>423</v>
      </c>
      <c r="B121" s="316"/>
      <c r="C121" s="146">
        <v>213.65</v>
      </c>
      <c r="D121" s="146">
        <v>6.6</v>
      </c>
      <c r="E121" s="146">
        <v>0.03</v>
      </c>
      <c r="F121" s="148">
        <f t="shared" si="16"/>
        <v>42.302699999999994</v>
      </c>
      <c r="G121" s="181">
        <v>0.14399999999999999</v>
      </c>
      <c r="H121" s="148">
        <f t="shared" si="17"/>
        <v>2619.3831839999993</v>
      </c>
      <c r="I121" s="149">
        <f t="shared" si="18"/>
        <v>1519.2422467199995</v>
      </c>
      <c r="K121">
        <v>0.57999999999999996</v>
      </c>
      <c r="L121" s="180"/>
      <c r="P121">
        <v>430</v>
      </c>
    </row>
    <row r="122" spans="1:16">
      <c r="A122" s="319" t="s">
        <v>424</v>
      </c>
      <c r="B122" s="320"/>
      <c r="C122" s="146">
        <v>524.47</v>
      </c>
      <c r="D122" s="147">
        <v>6.56</v>
      </c>
      <c r="E122" s="146">
        <v>0.03</v>
      </c>
      <c r="F122" s="148">
        <f t="shared" si="16"/>
        <v>103.21569599999999</v>
      </c>
      <c r="G122" s="181">
        <v>0.14399999999999999</v>
      </c>
      <c r="H122" s="148">
        <f t="shared" si="17"/>
        <v>6391.1158963199996</v>
      </c>
      <c r="I122" s="149">
        <f t="shared" si="18"/>
        <v>3706.8472198655995</v>
      </c>
      <c r="K122">
        <v>0.57999999999999996</v>
      </c>
      <c r="L122" s="180"/>
      <c r="P122">
        <v>430</v>
      </c>
    </row>
    <row r="123" spans="1:16">
      <c r="A123" s="315" t="s">
        <v>447</v>
      </c>
      <c r="B123" s="316"/>
      <c r="C123" s="146">
        <v>507.53</v>
      </c>
      <c r="D123" s="147">
        <v>7.17</v>
      </c>
      <c r="E123" s="146">
        <v>0.03</v>
      </c>
      <c r="F123" s="148">
        <f t="shared" si="16"/>
        <v>109.169703</v>
      </c>
      <c r="G123" s="181">
        <v>0.14399999999999999</v>
      </c>
      <c r="H123" s="148">
        <f t="shared" si="17"/>
        <v>6759.7880097599991</v>
      </c>
      <c r="I123" s="149">
        <f t="shared" si="18"/>
        <v>3920.6770456607992</v>
      </c>
      <c r="K123">
        <v>0.57999999999999996</v>
      </c>
      <c r="L123" s="180"/>
      <c r="P123">
        <v>430</v>
      </c>
    </row>
    <row r="124" spans="1:16">
      <c r="A124" s="315" t="s">
        <v>427</v>
      </c>
      <c r="B124" s="316"/>
      <c r="C124" s="146">
        <v>594.53</v>
      </c>
      <c r="D124" s="146">
        <v>7.13</v>
      </c>
      <c r="E124" s="146">
        <v>0.03</v>
      </c>
      <c r="F124" s="148">
        <f t="shared" si="16"/>
        <v>127.16996699999999</v>
      </c>
      <c r="G124" s="181">
        <v>0.14399999999999999</v>
      </c>
      <c r="H124" s="148">
        <f t="shared" si="17"/>
        <v>7874.3643566399978</v>
      </c>
      <c r="I124" s="149">
        <f t="shared" si="18"/>
        <v>4567.1313268511985</v>
      </c>
      <c r="K124">
        <v>0.57999999999999996</v>
      </c>
      <c r="L124" s="180"/>
      <c r="P124">
        <v>430</v>
      </c>
    </row>
    <row r="125" spans="1:16">
      <c r="A125" s="315" t="s">
        <v>426</v>
      </c>
      <c r="B125" s="316"/>
      <c r="C125" s="146">
        <v>597.11</v>
      </c>
      <c r="D125" s="146">
        <v>7.15</v>
      </c>
      <c r="E125" s="146">
        <v>0.03</v>
      </c>
      <c r="F125" s="148">
        <f t="shared" si="16"/>
        <v>128.080095</v>
      </c>
      <c r="G125" s="181">
        <v>0.14399999999999999</v>
      </c>
      <c r="H125" s="148">
        <f t="shared" si="17"/>
        <v>7930.7194823999989</v>
      </c>
      <c r="I125" s="149">
        <f t="shared" si="18"/>
        <v>4599.8172997919992</v>
      </c>
      <c r="K125">
        <v>0.57999999999999996</v>
      </c>
      <c r="L125" s="180"/>
      <c r="P125">
        <v>430</v>
      </c>
    </row>
    <row r="126" spans="1:16">
      <c r="A126" s="315" t="s">
        <v>448</v>
      </c>
      <c r="B126" s="316"/>
      <c r="C126" s="146">
        <v>448.82</v>
      </c>
      <c r="D126" s="146">
        <v>7.07</v>
      </c>
      <c r="E126" s="146">
        <v>0.03</v>
      </c>
      <c r="F126" s="148">
        <f t="shared" si="16"/>
        <v>95.194721999999999</v>
      </c>
      <c r="G126" s="181">
        <v>0.14399999999999999</v>
      </c>
      <c r="H126" s="148">
        <f t="shared" si="17"/>
        <v>5894.4571862399998</v>
      </c>
      <c r="I126" s="149">
        <f t="shared" si="18"/>
        <v>3418.7851680191998</v>
      </c>
      <c r="K126">
        <v>0.57999999999999996</v>
      </c>
      <c r="L126" s="180"/>
      <c r="P126">
        <v>430</v>
      </c>
    </row>
    <row r="127" spans="1:16">
      <c r="A127" s="315" t="s">
        <v>428</v>
      </c>
      <c r="B127" s="316"/>
      <c r="C127" s="146">
        <v>690.97</v>
      </c>
      <c r="D127" s="146">
        <v>7.12</v>
      </c>
      <c r="E127" s="146">
        <v>0.03</v>
      </c>
      <c r="F127" s="148">
        <f t="shared" si="16"/>
        <v>147.59119200000001</v>
      </c>
      <c r="G127" s="181">
        <v>0.14399999999999999</v>
      </c>
      <c r="H127" s="148">
        <f t="shared" si="17"/>
        <v>9138.8466086400003</v>
      </c>
      <c r="I127" s="149">
        <f t="shared" si="18"/>
        <v>5300.5310330111997</v>
      </c>
      <c r="K127">
        <v>0.57999999999999996</v>
      </c>
      <c r="L127" s="180"/>
      <c r="P127">
        <v>430</v>
      </c>
    </row>
    <row r="128" spans="1:16" ht="13.5" thickBot="1">
      <c r="A128" s="317"/>
      <c r="B128" s="318"/>
      <c r="C128" s="151"/>
      <c r="D128" s="167"/>
      <c r="E128" s="167"/>
      <c r="F128" s="151"/>
      <c r="G128" s="151"/>
      <c r="H128" s="151">
        <f>SUM(H116:H127)</f>
        <v>73796.205906719988</v>
      </c>
      <c r="I128" s="152">
        <f>SUM(I116:I127)</f>
        <v>42801.799425897581</v>
      </c>
    </row>
    <row r="129" spans="1:16" ht="13.5" thickBot="1"/>
    <row r="130" spans="1:16">
      <c r="A130" s="154" t="s">
        <v>0</v>
      </c>
      <c r="B130" s="155" t="s">
        <v>470</v>
      </c>
      <c r="C130" s="323" t="s">
        <v>449</v>
      </c>
      <c r="D130" s="325" t="s">
        <v>469</v>
      </c>
      <c r="E130" s="325"/>
      <c r="F130" s="325"/>
      <c r="G130" s="325"/>
      <c r="H130" s="325"/>
      <c r="I130" s="156" t="s">
        <v>3</v>
      </c>
    </row>
    <row r="131" spans="1:16" ht="13.5">
      <c r="A131" s="168" t="s">
        <v>450</v>
      </c>
      <c r="B131" s="182" t="s">
        <v>331</v>
      </c>
      <c r="C131" s="324"/>
      <c r="D131" s="326"/>
      <c r="E131" s="326"/>
      <c r="F131" s="326"/>
      <c r="G131" s="326"/>
      <c r="H131" s="326"/>
      <c r="I131" s="170" t="s">
        <v>457</v>
      </c>
    </row>
    <row r="132" spans="1:16" ht="25.5">
      <c r="A132" s="327" t="s">
        <v>441</v>
      </c>
      <c r="B132" s="328"/>
      <c r="C132" s="160" t="s">
        <v>442</v>
      </c>
      <c r="D132" s="160" t="s">
        <v>443</v>
      </c>
      <c r="E132" s="161" t="s">
        <v>460</v>
      </c>
      <c r="F132" s="162" t="s">
        <v>451</v>
      </c>
      <c r="G132" s="161" t="s">
        <v>461</v>
      </c>
      <c r="H132" s="161" t="s">
        <v>453</v>
      </c>
      <c r="I132" s="164" t="s">
        <v>454</v>
      </c>
    </row>
    <row r="133" spans="1:16" ht="13.5">
      <c r="A133" s="321" t="s">
        <v>3</v>
      </c>
      <c r="B133" s="322"/>
      <c r="C133" s="141" t="s">
        <v>23</v>
      </c>
      <c r="D133" s="141" t="s">
        <v>23</v>
      </c>
      <c r="E133" s="142" t="s">
        <v>23</v>
      </c>
      <c r="F133" s="144" t="s">
        <v>299</v>
      </c>
      <c r="G133" s="144" t="s">
        <v>462</v>
      </c>
      <c r="H133" s="144" t="s">
        <v>332</v>
      </c>
      <c r="I133" s="172">
        <v>0.57999999999999996</v>
      </c>
    </row>
    <row r="134" spans="1:16">
      <c r="A134" s="319" t="s">
        <v>419</v>
      </c>
      <c r="B134" s="320"/>
      <c r="C134" s="146">
        <v>66.45</v>
      </c>
      <c r="D134" s="147">
        <v>7.12</v>
      </c>
      <c r="E134" s="146">
        <v>0.03</v>
      </c>
      <c r="F134" s="148">
        <f>C134*D134*E134</f>
        <v>14.193720000000001</v>
      </c>
      <c r="G134" s="148">
        <f>F134*N134</f>
        <v>34.064928000000002</v>
      </c>
      <c r="H134" s="148">
        <f>G134*P134</f>
        <v>2895.5188800000001</v>
      </c>
      <c r="I134" s="149">
        <f>H134*K134</f>
        <v>1679.4009503999998</v>
      </c>
      <c r="K134">
        <v>0.57999999999999996</v>
      </c>
      <c r="L134" s="180"/>
      <c r="N134">
        <v>2.4</v>
      </c>
      <c r="P134">
        <v>85</v>
      </c>
    </row>
    <row r="135" spans="1:16">
      <c r="A135" s="315" t="s">
        <v>420</v>
      </c>
      <c r="B135" s="316"/>
      <c r="C135" s="146">
        <v>363.77</v>
      </c>
      <c r="D135" s="147">
        <v>6.97</v>
      </c>
      <c r="E135" s="146">
        <v>0.03</v>
      </c>
      <c r="F135" s="148">
        <f t="shared" ref="F135:F145" si="19">C135*D135*E135</f>
        <v>76.064306999999985</v>
      </c>
      <c r="G135" s="148">
        <f t="shared" ref="G135:G145" si="20">F135*N135</f>
        <v>182.55433679999996</v>
      </c>
      <c r="H135" s="148">
        <f t="shared" ref="H135:H145" si="21">G135*P135</f>
        <v>15517.118627999997</v>
      </c>
      <c r="I135" s="149">
        <f t="shared" ref="I135:I145" si="22">H135*K135</f>
        <v>8999.9288042399967</v>
      </c>
      <c r="K135">
        <v>0.57999999999999996</v>
      </c>
      <c r="L135" s="180"/>
      <c r="N135">
        <v>2.4</v>
      </c>
      <c r="P135">
        <v>85</v>
      </c>
    </row>
    <row r="136" spans="1:16">
      <c r="A136" s="315" t="s">
        <v>421</v>
      </c>
      <c r="B136" s="316"/>
      <c r="C136" s="146">
        <v>519.14</v>
      </c>
      <c r="D136" s="146">
        <v>6.96</v>
      </c>
      <c r="E136" s="146">
        <v>0.03</v>
      </c>
      <c r="F136" s="148">
        <f t="shared" si="19"/>
        <v>108.39643199999999</v>
      </c>
      <c r="G136" s="148">
        <f t="shared" si="20"/>
        <v>260.15143679999994</v>
      </c>
      <c r="H136" s="148">
        <f t="shared" si="21"/>
        <v>22112.872127999995</v>
      </c>
      <c r="I136" s="149">
        <f t="shared" si="22"/>
        <v>12825.465834239996</v>
      </c>
      <c r="K136">
        <v>0.57999999999999996</v>
      </c>
      <c r="L136" s="180"/>
      <c r="N136">
        <v>2.4</v>
      </c>
      <c r="P136">
        <v>85</v>
      </c>
    </row>
    <row r="137" spans="1:16">
      <c r="A137" s="315" t="s">
        <v>446</v>
      </c>
      <c r="B137" s="316"/>
      <c r="C137" s="146">
        <v>532.35</v>
      </c>
      <c r="D137" s="146">
        <v>7.03</v>
      </c>
      <c r="E137" s="146">
        <v>0.03</v>
      </c>
      <c r="F137" s="148">
        <f t="shared" si="19"/>
        <v>112.272615</v>
      </c>
      <c r="G137" s="148">
        <f t="shared" si="20"/>
        <v>269.45427599999999</v>
      </c>
      <c r="H137" s="148">
        <f t="shared" si="21"/>
        <v>22903.61346</v>
      </c>
      <c r="I137" s="149">
        <f t="shared" si="22"/>
        <v>13284.0958068</v>
      </c>
      <c r="K137">
        <v>0.57999999999999996</v>
      </c>
      <c r="L137" s="180"/>
      <c r="N137">
        <v>2.4</v>
      </c>
      <c r="P137">
        <v>85</v>
      </c>
    </row>
    <row r="138" spans="1:16">
      <c r="A138" s="315" t="s">
        <v>422</v>
      </c>
      <c r="B138" s="316"/>
      <c r="C138" s="146">
        <v>546.94000000000005</v>
      </c>
      <c r="D138" s="146">
        <v>7.81</v>
      </c>
      <c r="E138" s="146">
        <v>0.03</v>
      </c>
      <c r="F138" s="148">
        <f t="shared" si="19"/>
        <v>128.148042</v>
      </c>
      <c r="G138" s="148">
        <f t="shared" si="20"/>
        <v>307.5553008</v>
      </c>
      <c r="H138" s="148">
        <f t="shared" si="21"/>
        <v>26142.200568</v>
      </c>
      <c r="I138" s="149">
        <f t="shared" si="22"/>
        <v>15162.47632944</v>
      </c>
      <c r="K138">
        <v>0.57999999999999996</v>
      </c>
      <c r="L138" s="180"/>
      <c r="N138">
        <v>2.4</v>
      </c>
      <c r="P138">
        <v>85</v>
      </c>
    </row>
    <row r="139" spans="1:16">
      <c r="A139" s="315" t="s">
        <v>423</v>
      </c>
      <c r="B139" s="316"/>
      <c r="C139" s="146">
        <v>213.65</v>
      </c>
      <c r="D139" s="146">
        <v>6.6</v>
      </c>
      <c r="E139" s="146">
        <v>0.03</v>
      </c>
      <c r="F139" s="148">
        <f t="shared" si="19"/>
        <v>42.302699999999994</v>
      </c>
      <c r="G139" s="148">
        <f t="shared" si="20"/>
        <v>101.52647999999998</v>
      </c>
      <c r="H139" s="148">
        <f t="shared" si="21"/>
        <v>8629.750799999998</v>
      </c>
      <c r="I139" s="149">
        <f t="shared" si="22"/>
        <v>5005.2554639999989</v>
      </c>
      <c r="K139">
        <v>0.57999999999999996</v>
      </c>
      <c r="L139" s="180"/>
      <c r="N139">
        <v>2.4</v>
      </c>
      <c r="P139">
        <v>85</v>
      </c>
    </row>
    <row r="140" spans="1:16">
      <c r="A140" s="319" t="s">
        <v>424</v>
      </c>
      <c r="B140" s="320"/>
      <c r="C140" s="146">
        <v>524.47</v>
      </c>
      <c r="D140" s="147">
        <v>6.56</v>
      </c>
      <c r="E140" s="146">
        <v>0.03</v>
      </c>
      <c r="F140" s="148">
        <f t="shared" si="19"/>
        <v>103.21569599999999</v>
      </c>
      <c r="G140" s="148">
        <f t="shared" si="20"/>
        <v>247.71767039999997</v>
      </c>
      <c r="H140" s="148">
        <f t="shared" si="21"/>
        <v>21056.001983999999</v>
      </c>
      <c r="I140" s="149">
        <f t="shared" si="22"/>
        <v>12212.481150719997</v>
      </c>
      <c r="K140">
        <v>0.57999999999999996</v>
      </c>
      <c r="L140" s="180"/>
      <c r="N140">
        <v>2.4</v>
      </c>
      <c r="P140">
        <v>85</v>
      </c>
    </row>
    <row r="141" spans="1:16">
      <c r="A141" s="315" t="s">
        <v>447</v>
      </c>
      <c r="B141" s="316"/>
      <c r="C141" s="146">
        <v>507.53</v>
      </c>
      <c r="D141" s="147">
        <v>7.17</v>
      </c>
      <c r="E141" s="146">
        <v>0.03</v>
      </c>
      <c r="F141" s="148">
        <f t="shared" si="19"/>
        <v>109.169703</v>
      </c>
      <c r="G141" s="148">
        <f t="shared" si="20"/>
        <v>262.00728720000001</v>
      </c>
      <c r="H141" s="148">
        <f t="shared" si="21"/>
        <v>22270.619412</v>
      </c>
      <c r="I141" s="149">
        <f t="shared" si="22"/>
        <v>12916.95925896</v>
      </c>
      <c r="K141">
        <v>0.57999999999999996</v>
      </c>
      <c r="L141" s="180"/>
      <c r="N141">
        <v>2.4</v>
      </c>
      <c r="P141">
        <v>85</v>
      </c>
    </row>
    <row r="142" spans="1:16">
      <c r="A142" s="315" t="s">
        <v>427</v>
      </c>
      <c r="B142" s="316"/>
      <c r="C142" s="146">
        <v>594.53</v>
      </c>
      <c r="D142" s="146">
        <v>7.13</v>
      </c>
      <c r="E142" s="146">
        <v>0.03</v>
      </c>
      <c r="F142" s="148">
        <f t="shared" si="19"/>
        <v>127.16996699999999</v>
      </c>
      <c r="G142" s="148">
        <f t="shared" si="20"/>
        <v>305.20792079999995</v>
      </c>
      <c r="H142" s="148">
        <f t="shared" si="21"/>
        <v>25942.673267999995</v>
      </c>
      <c r="I142" s="149">
        <f t="shared" si="22"/>
        <v>15046.750495439996</v>
      </c>
      <c r="K142">
        <v>0.57999999999999996</v>
      </c>
      <c r="L142" s="180"/>
      <c r="N142">
        <v>2.4</v>
      </c>
      <c r="P142">
        <v>85</v>
      </c>
    </row>
    <row r="143" spans="1:16">
      <c r="A143" s="315" t="s">
        <v>426</v>
      </c>
      <c r="B143" s="316"/>
      <c r="C143" s="146">
        <v>597.11</v>
      </c>
      <c r="D143" s="146">
        <v>7.15</v>
      </c>
      <c r="E143" s="146">
        <v>0.03</v>
      </c>
      <c r="F143" s="148">
        <f t="shared" si="19"/>
        <v>128.080095</v>
      </c>
      <c r="G143" s="148">
        <f t="shared" si="20"/>
        <v>307.39222799999999</v>
      </c>
      <c r="H143" s="148">
        <f t="shared" si="21"/>
        <v>26128.339379999998</v>
      </c>
      <c r="I143" s="149">
        <f t="shared" si="22"/>
        <v>15154.436840399998</v>
      </c>
      <c r="K143">
        <v>0.57999999999999996</v>
      </c>
      <c r="L143" s="180"/>
      <c r="N143">
        <v>2.4</v>
      </c>
      <c r="P143">
        <v>85</v>
      </c>
    </row>
    <row r="144" spans="1:16">
      <c r="A144" s="315" t="s">
        <v>448</v>
      </c>
      <c r="B144" s="316"/>
      <c r="C144" s="146">
        <v>448.82</v>
      </c>
      <c r="D144" s="146">
        <v>7.07</v>
      </c>
      <c r="E144" s="146">
        <v>0.03</v>
      </c>
      <c r="F144" s="148">
        <f t="shared" si="19"/>
        <v>95.194721999999999</v>
      </c>
      <c r="G144" s="148">
        <f t="shared" si="20"/>
        <v>228.46733279999998</v>
      </c>
      <c r="H144" s="148">
        <f t="shared" si="21"/>
        <v>19419.723287999997</v>
      </c>
      <c r="I144" s="149">
        <f t="shared" si="22"/>
        <v>11263.439507039997</v>
      </c>
      <c r="K144">
        <v>0.57999999999999996</v>
      </c>
      <c r="L144" s="180"/>
      <c r="N144">
        <v>2.4</v>
      </c>
      <c r="P144">
        <v>85</v>
      </c>
    </row>
    <row r="145" spans="1:16">
      <c r="A145" s="315" t="s">
        <v>428</v>
      </c>
      <c r="B145" s="316"/>
      <c r="C145" s="146">
        <v>690.97</v>
      </c>
      <c r="D145" s="146">
        <v>7.12</v>
      </c>
      <c r="E145" s="146">
        <v>0.03</v>
      </c>
      <c r="F145" s="148">
        <f t="shared" si="19"/>
        <v>147.59119200000001</v>
      </c>
      <c r="G145" s="148">
        <f t="shared" si="20"/>
        <v>354.21886080000002</v>
      </c>
      <c r="H145" s="148">
        <f t="shared" si="21"/>
        <v>30108.603168000001</v>
      </c>
      <c r="I145" s="149">
        <f t="shared" si="22"/>
        <v>17462.98983744</v>
      </c>
      <c r="K145">
        <v>0.57999999999999996</v>
      </c>
      <c r="L145" s="180"/>
      <c r="N145">
        <v>2.4</v>
      </c>
      <c r="P145">
        <v>85</v>
      </c>
    </row>
    <row r="146" spans="1:16" ht="13.5" thickBot="1">
      <c r="A146" s="317"/>
      <c r="B146" s="318"/>
      <c r="C146" s="151"/>
      <c r="D146" s="167"/>
      <c r="E146" s="167"/>
      <c r="F146" s="151"/>
      <c r="G146" s="151">
        <f>SUM(G134:G145)</f>
        <v>2860.3180584000002</v>
      </c>
      <c r="H146" s="151">
        <f>SUM(H134:H145)</f>
        <v>243127.03496399996</v>
      </c>
      <c r="I146" s="152">
        <f>SUM(I134:I145)</f>
        <v>141013.68027911996</v>
      </c>
    </row>
    <row r="148" spans="1:16">
      <c r="A148" s="1"/>
      <c r="B148" s="1"/>
      <c r="C148" s="1"/>
      <c r="D148" s="1"/>
      <c r="E148" s="1"/>
      <c r="F148" s="1"/>
    </row>
    <row r="149" spans="1:16">
      <c r="A149" s="249"/>
      <c r="B149" s="249"/>
      <c r="C149" s="249"/>
      <c r="D149" s="249"/>
      <c r="E149" s="249"/>
      <c r="F149" s="249"/>
      <c r="G149" s="249" t="s">
        <v>353</v>
      </c>
      <c r="H149" s="249"/>
    </row>
    <row r="150" spans="1:16">
      <c r="A150" s="248" t="s">
        <v>351</v>
      </c>
      <c r="B150" s="248"/>
      <c r="C150" s="248"/>
      <c r="D150" s="248"/>
      <c r="E150" s="248"/>
      <c r="G150" s="248" t="s">
        <v>352</v>
      </c>
      <c r="H150" s="248"/>
    </row>
    <row r="153" spans="1:16">
      <c r="A153" s="249"/>
      <c r="B153" s="249"/>
      <c r="C153" s="249"/>
      <c r="D153" s="249"/>
      <c r="E153" s="249"/>
      <c r="F153" s="249"/>
    </row>
    <row r="154" spans="1:16">
      <c r="A154" s="248" t="s">
        <v>336</v>
      </c>
      <c r="B154" s="248"/>
      <c r="C154" s="248"/>
      <c r="D154" s="248"/>
      <c r="E154" s="248"/>
      <c r="F154" s="248"/>
    </row>
  </sheetData>
  <mergeCells count="146">
    <mergeCell ref="A6:B6"/>
    <mergeCell ref="A7:B7"/>
    <mergeCell ref="A8:B8"/>
    <mergeCell ref="A9:B9"/>
    <mergeCell ref="A10:B10"/>
    <mergeCell ref="A11:B11"/>
    <mergeCell ref="A1:I1"/>
    <mergeCell ref="A2:D2"/>
    <mergeCell ref="E2:I2"/>
    <mergeCell ref="A3:I3"/>
    <mergeCell ref="A4:I4"/>
    <mergeCell ref="A5:I5"/>
    <mergeCell ref="C22:C23"/>
    <mergeCell ref="D22:H23"/>
    <mergeCell ref="A24:B24"/>
    <mergeCell ref="A12:B12"/>
    <mergeCell ref="A13:B13"/>
    <mergeCell ref="A14:B14"/>
    <mergeCell ref="A15:B15"/>
    <mergeCell ref="A16:B16"/>
    <mergeCell ref="A17:B17"/>
    <mergeCell ref="A25:B25"/>
    <mergeCell ref="A26:B26"/>
    <mergeCell ref="A27:B27"/>
    <mergeCell ref="A28:B28"/>
    <mergeCell ref="A29:B29"/>
    <mergeCell ref="A30:B30"/>
    <mergeCell ref="A18:B18"/>
    <mergeCell ref="A19:B19"/>
    <mergeCell ref="A20:B20"/>
    <mergeCell ref="A37:B37"/>
    <mergeCell ref="A38:B38"/>
    <mergeCell ref="C40:C41"/>
    <mergeCell ref="D40:H41"/>
    <mergeCell ref="A42:B42"/>
    <mergeCell ref="A43:B43"/>
    <mergeCell ref="A31:B31"/>
    <mergeCell ref="A32:B32"/>
    <mergeCell ref="A33:B33"/>
    <mergeCell ref="A34:B34"/>
    <mergeCell ref="A35:B35"/>
    <mergeCell ref="A36:B36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63:B63"/>
    <mergeCell ref="A64:B64"/>
    <mergeCell ref="A65:B65"/>
    <mergeCell ref="A66:B66"/>
    <mergeCell ref="A67:B67"/>
    <mergeCell ref="A68:B68"/>
    <mergeCell ref="A56:B56"/>
    <mergeCell ref="C58:C59"/>
    <mergeCell ref="D58:H59"/>
    <mergeCell ref="A60:B60"/>
    <mergeCell ref="A61:B61"/>
    <mergeCell ref="A62:B62"/>
    <mergeCell ref="C76:C77"/>
    <mergeCell ref="D76:H77"/>
    <mergeCell ref="A78:B78"/>
    <mergeCell ref="A79:B79"/>
    <mergeCell ref="A80:B80"/>
    <mergeCell ref="A81:B81"/>
    <mergeCell ref="A69:B69"/>
    <mergeCell ref="A70:B70"/>
    <mergeCell ref="A71:B71"/>
    <mergeCell ref="A72:B72"/>
    <mergeCell ref="A73:B73"/>
    <mergeCell ref="A74:B74"/>
    <mergeCell ref="A88:B88"/>
    <mergeCell ref="A89:B89"/>
    <mergeCell ref="A90:B90"/>
    <mergeCell ref="A91:B91"/>
    <mergeCell ref="A92:B92"/>
    <mergeCell ref="C94:C95"/>
    <mergeCell ref="A82:B82"/>
    <mergeCell ref="A83:B83"/>
    <mergeCell ref="A84:B84"/>
    <mergeCell ref="A85:B85"/>
    <mergeCell ref="A86:B86"/>
    <mergeCell ref="A87:B87"/>
    <mergeCell ref="C112:C113"/>
    <mergeCell ref="D112:H113"/>
    <mergeCell ref="A101:B101"/>
    <mergeCell ref="A102:B102"/>
    <mergeCell ref="A103:B103"/>
    <mergeCell ref="A104:B104"/>
    <mergeCell ref="A105:B105"/>
    <mergeCell ref="A106:B106"/>
    <mergeCell ref="D94:H95"/>
    <mergeCell ref="A96:B96"/>
    <mergeCell ref="A97:B97"/>
    <mergeCell ref="A98:B98"/>
    <mergeCell ref="A99:B99"/>
    <mergeCell ref="A100:B100"/>
    <mergeCell ref="A114:B114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C130:C131"/>
    <mergeCell ref="D130:H131"/>
    <mergeCell ref="A132:B132"/>
    <mergeCell ref="A120:B120"/>
    <mergeCell ref="A121:B121"/>
    <mergeCell ref="A122:B122"/>
    <mergeCell ref="A123:B123"/>
    <mergeCell ref="A124:B124"/>
    <mergeCell ref="A125:B125"/>
    <mergeCell ref="A133:B133"/>
    <mergeCell ref="A134:B134"/>
    <mergeCell ref="A135:B135"/>
    <mergeCell ref="A136:B136"/>
    <mergeCell ref="A137:B137"/>
    <mergeCell ref="A138:B138"/>
    <mergeCell ref="A126:B126"/>
    <mergeCell ref="A127:B127"/>
    <mergeCell ref="A128:B128"/>
    <mergeCell ref="A153:F153"/>
    <mergeCell ref="A154:F154"/>
    <mergeCell ref="A145:B145"/>
    <mergeCell ref="A146:B146"/>
    <mergeCell ref="A149:F149"/>
    <mergeCell ref="G149:H149"/>
    <mergeCell ref="A150:E150"/>
    <mergeCell ref="G150:H150"/>
    <mergeCell ref="A139:B139"/>
    <mergeCell ref="A140:B140"/>
    <mergeCell ref="A141:B141"/>
    <mergeCell ref="A142:B142"/>
    <mergeCell ref="A143:B143"/>
    <mergeCell ref="A144:B14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Composição BDI</vt:lpstr>
      <vt:lpstr>Planilha Orcamentária</vt:lpstr>
      <vt:lpstr>O Q foi PAGO</vt:lpstr>
      <vt:lpstr>Planilha</vt:lpstr>
      <vt:lpstr>Cronograma Físico-Financeiro</vt:lpstr>
      <vt:lpstr>O Q foi PAGO (2)</vt:lpstr>
      <vt:lpstr>Plan2</vt:lpstr>
      <vt:lpstr>'Composição BDI'!Area_de_impressao</vt:lpstr>
      <vt:lpstr>'Cronograma Físico-Financeiro'!Area_de_impressao</vt:lpstr>
      <vt:lpstr>Plan2!Area_de_impressao</vt:lpstr>
      <vt:lpstr>Planilha!Area_de_impressao</vt:lpstr>
      <vt:lpstr>'Planilha Orcamentária'!Area_de_impressao</vt:lpstr>
      <vt:lpstr>Planilha!Titulos_de_impressao</vt:lpstr>
      <vt:lpstr>'Planilha Orcamentária'!Titulos_de_impressao</vt:lpstr>
    </vt:vector>
  </TitlesOfParts>
  <Company>Setop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Licitação</cp:lastModifiedBy>
  <cp:lastPrinted>2019-09-12T18:00:35Z</cp:lastPrinted>
  <dcterms:created xsi:type="dcterms:W3CDTF">2006-09-22T13:55:22Z</dcterms:created>
  <dcterms:modified xsi:type="dcterms:W3CDTF">2019-09-16T18:37:39Z</dcterms:modified>
</cp:coreProperties>
</file>